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M:\★トビタテ！留学JAPAN\☆基本４コース（全国版）\2025（第17期）\周知\"/>
    </mc:Choice>
  </mc:AlternateContent>
  <xr:revisionPtr revIDLastSave="0" documentId="8_{B0758B53-AB17-443A-9A47-8E5C33D352D7}" xr6:coauthVersionLast="36" xr6:coauthVersionMax="36" xr10:uidLastSave="{00000000-0000-0000-0000-000000000000}"/>
  <bookViews>
    <workbookView xWindow="0" yWindow="0" windowWidth="28800" windowHeight="11265" xr2:uid="{00000000-000D-0000-FFFF-FFFF00000000}"/>
  </bookViews>
  <sheets>
    <sheet name="入力シート" sheetId="2" r:id="rId1"/>
    <sheet name="入力例" sheetId="6" r:id="rId2"/>
    <sheet name="リストボックス" sheetId="4" state="hidden" r:id="rId3"/>
    <sheet name="計算シート" sheetId="5" state="hidden" r:id="rId4"/>
    <sheet name="修正履歴" sheetId="7" state="hidden" r:id="rId5"/>
  </sheets>
  <definedNames>
    <definedName name="_xlnm._FilterDatabase" localSheetId="0" hidden="1">入力シート!$B$6:$G$40</definedName>
    <definedName name="_xlnm.Print_Area" localSheetId="0">入力シート!$A$1:$H$41</definedName>
    <definedName name="_xlnm.Print_Area" localSheetId="1">入力例!$A$1:$V$41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46" i="5" l="1"/>
  <c r="B2" i="5" s="1"/>
  <c r="B35" i="5" l="1"/>
  <c r="O5" i="4"/>
  <c r="B13" i="2"/>
  <c r="B10" i="2"/>
  <c r="F17" i="2"/>
  <c r="E17" i="2"/>
  <c r="G1" i="6"/>
  <c r="V1" i="6" s="1"/>
  <c r="B37" i="5" l="1"/>
  <c r="B4" i="5" l="1"/>
  <c r="C40" i="2" l="1"/>
  <c r="C38" i="2"/>
  <c r="C39" i="2"/>
  <c r="B6" i="5"/>
  <c r="B5" i="5"/>
  <c r="F10" i="2" l="1"/>
  <c r="B30" i="5" l="1"/>
  <c r="B3" i="5" l="1"/>
  <c r="B38" i="5" s="1"/>
  <c r="F13" i="2" l="1"/>
  <c r="F9" i="2"/>
  <c r="F8" i="2"/>
  <c r="B27" i="5"/>
  <c r="D18" i="5"/>
  <c r="C18" i="5"/>
  <c r="B18" i="5"/>
  <c r="G1" i="2" l="1"/>
  <c r="D20" i="2" l="1"/>
  <c r="B7" i="5" l="1"/>
  <c r="B8" i="5" s="1"/>
  <c r="B16" i="2" s="1"/>
  <c r="D17" i="5"/>
  <c r="C17" i="5"/>
  <c r="B17" i="5"/>
  <c r="D14" i="5"/>
  <c r="C14" i="5"/>
  <c r="B14" i="5"/>
  <c r="D11" i="5"/>
  <c r="C11" i="5"/>
  <c r="B11" i="5"/>
  <c r="D10" i="5"/>
  <c r="C10" i="5"/>
  <c r="B10" i="5"/>
  <c r="F12" i="2" l="1"/>
  <c r="B36" i="5"/>
  <c r="B22" i="5"/>
  <c r="B23" i="5"/>
  <c r="D23" i="5"/>
  <c r="D22" i="5"/>
  <c r="C23" i="5"/>
  <c r="C22" i="5"/>
  <c r="F11" i="2"/>
  <c r="D21" i="5"/>
  <c r="C21" i="5"/>
  <c r="B21" i="5"/>
  <c r="D15" i="5"/>
  <c r="C15" i="5"/>
  <c r="B15" i="5"/>
  <c r="D13" i="5"/>
  <c r="G35" i="2" s="1"/>
  <c r="C13" i="5"/>
  <c r="F35" i="2" s="1"/>
  <c r="B13" i="5"/>
  <c r="E35" i="2" s="1"/>
  <c r="D12" i="5"/>
  <c r="C12" i="5"/>
  <c r="B12" i="5"/>
  <c r="D9" i="5" l="1"/>
  <c r="D19" i="5" s="1"/>
  <c r="B28" i="5"/>
  <c r="C22" i="2"/>
  <c r="B29" i="5"/>
  <c r="B16" i="5"/>
  <c r="E37" i="2" s="1"/>
  <c r="C16" i="5"/>
  <c r="F37" i="2" s="1"/>
  <c r="D16" i="5"/>
  <c r="G37" i="2" s="1"/>
  <c r="F36" i="2"/>
  <c r="E36" i="2"/>
  <c r="G36" i="2"/>
  <c r="B9" i="5"/>
  <c r="B19" i="5" s="1"/>
  <c r="C9" i="5"/>
  <c r="B31" i="5" l="1"/>
  <c r="C19" i="5"/>
  <c r="C20" i="5" s="1"/>
  <c r="D20" i="5"/>
  <c r="G34" i="2" s="1"/>
  <c r="B20" i="5"/>
  <c r="E34" i="2" s="1"/>
  <c r="F34" i="2" l="1"/>
  <c r="C24" i="5"/>
  <c r="D24" i="5"/>
  <c r="D25" i="5" s="1"/>
  <c r="B24" i="5"/>
  <c r="B25" i="5" l="1"/>
  <c r="B26" i="5"/>
  <c r="C26" i="5"/>
  <c r="C25" i="5"/>
  <c r="B32" i="5"/>
  <c r="D26" i="5"/>
  <c r="G38" i="2" s="1"/>
  <c r="C32" i="5" l="1"/>
  <c r="C34" i="5" s="1"/>
  <c r="B33" i="5"/>
  <c r="B34" i="5"/>
  <c r="B44" i="5" l="1"/>
  <c r="B45" i="5" s="1"/>
  <c r="C33" i="5"/>
  <c r="B39" i="5" s="1"/>
  <c r="E38" i="2"/>
  <c r="B50" i="5" l="1"/>
  <c r="B49" i="5"/>
  <c r="B48" i="5"/>
  <c r="B47" i="5"/>
  <c r="E39" i="2"/>
  <c r="B42" i="5"/>
  <c r="B41" i="5"/>
  <c r="F38" i="2"/>
  <c r="B40" i="5"/>
  <c r="B43" i="5" l="1"/>
  <c r="E40" i="2" s="1"/>
  <c r="E41" i="2"/>
</calcChain>
</file>

<file path=xl/sharedStrings.xml><?xml version="1.0" encoding="utf-8"?>
<sst xmlns="http://schemas.openxmlformats.org/spreadsheetml/2006/main" count="317" uniqueCount="200">
  <si>
    <t>合計所得金額</t>
    <rPh sb="0" eb="2">
      <t>ゴウケイ</t>
    </rPh>
    <rPh sb="2" eb="4">
      <t>ショトク</t>
    </rPh>
    <rPh sb="4" eb="6">
      <t>キンガク</t>
    </rPh>
    <phoneticPr fontId="1"/>
  </si>
  <si>
    <t>総所得金額等</t>
    <rPh sb="0" eb="1">
      <t>ソウ</t>
    </rPh>
    <rPh sb="1" eb="3">
      <t>ショトク</t>
    </rPh>
    <rPh sb="3" eb="5">
      <t>キンガク</t>
    </rPh>
    <rPh sb="5" eb="6">
      <t>トウ</t>
    </rPh>
    <phoneticPr fontId="1"/>
  </si>
  <si>
    <t>配偶者控除等</t>
    <rPh sb="0" eb="3">
      <t>ハイグウシャ</t>
    </rPh>
    <rPh sb="3" eb="5">
      <t>コウジョ</t>
    </rPh>
    <rPh sb="5" eb="6">
      <t>トウ</t>
    </rPh>
    <phoneticPr fontId="1"/>
  </si>
  <si>
    <t>扶養控除情報</t>
    <rPh sb="0" eb="2">
      <t>フヨウ</t>
    </rPh>
    <rPh sb="2" eb="4">
      <t>コウジョ</t>
    </rPh>
    <rPh sb="4" eb="6">
      <t>ジョウホウ</t>
    </rPh>
    <phoneticPr fontId="1"/>
  </si>
  <si>
    <t>本人該当区分</t>
    <rPh sb="0" eb="2">
      <t>ホンニン</t>
    </rPh>
    <rPh sb="2" eb="4">
      <t>ガイトウ</t>
    </rPh>
    <rPh sb="4" eb="6">
      <t>クブン</t>
    </rPh>
    <phoneticPr fontId="1"/>
  </si>
  <si>
    <t>生年月日</t>
    <rPh sb="0" eb="2">
      <t>セイネン</t>
    </rPh>
    <rPh sb="2" eb="4">
      <t>ガッピ</t>
    </rPh>
    <phoneticPr fontId="1"/>
  </si>
  <si>
    <t>生活扶助</t>
    <rPh sb="0" eb="2">
      <t>セイカツ</t>
    </rPh>
    <rPh sb="2" eb="4">
      <t>フジョ</t>
    </rPh>
    <phoneticPr fontId="1"/>
  </si>
  <si>
    <t>市町村民税の課税者</t>
    <rPh sb="0" eb="3">
      <t>シチョウソン</t>
    </rPh>
    <rPh sb="3" eb="4">
      <t>ミン</t>
    </rPh>
    <rPh sb="4" eb="5">
      <t>ゼイ</t>
    </rPh>
    <rPh sb="6" eb="8">
      <t>カゼイ</t>
    </rPh>
    <rPh sb="8" eb="9">
      <t>シャ</t>
    </rPh>
    <phoneticPr fontId="1"/>
  </si>
  <si>
    <t>支援区分</t>
    <rPh sb="0" eb="2">
      <t>シエン</t>
    </rPh>
    <rPh sb="2" eb="4">
      <t>クブン</t>
    </rPh>
    <phoneticPr fontId="1"/>
  </si>
  <si>
    <t>生計維持者１</t>
    <rPh sb="0" eb="2">
      <t>セイケイ</t>
    </rPh>
    <rPh sb="2" eb="4">
      <t>イジ</t>
    </rPh>
    <rPh sb="4" eb="5">
      <t>シャ</t>
    </rPh>
    <phoneticPr fontId="1"/>
  </si>
  <si>
    <t>生計維持者２</t>
    <rPh sb="0" eb="2">
      <t>セイケイ</t>
    </rPh>
    <rPh sb="2" eb="4">
      <t>イジ</t>
    </rPh>
    <rPh sb="4" eb="5">
      <t>シャ</t>
    </rPh>
    <phoneticPr fontId="1"/>
  </si>
  <si>
    <t>申込者本人</t>
    <rPh sb="0" eb="2">
      <t>モウシコミ</t>
    </rPh>
    <rPh sb="2" eb="3">
      <t>シャ</t>
    </rPh>
    <rPh sb="3" eb="5">
      <t>ホンニン</t>
    </rPh>
    <phoneticPr fontId="1"/>
  </si>
  <si>
    <t>年齢</t>
    <rPh sb="0" eb="2">
      <t>ネンレイ</t>
    </rPh>
    <phoneticPr fontId="1"/>
  </si>
  <si>
    <t>本人</t>
    <rPh sb="0" eb="2">
      <t>ホンニン</t>
    </rPh>
    <phoneticPr fontId="1"/>
  </si>
  <si>
    <t>採用の区分</t>
    <rPh sb="0" eb="2">
      <t>サイヨウ</t>
    </rPh>
    <rPh sb="3" eb="5">
      <t>クブン</t>
    </rPh>
    <phoneticPr fontId="1"/>
  </si>
  <si>
    <t>課税者</t>
    <rPh sb="0" eb="2">
      <t>カゼイ</t>
    </rPh>
    <rPh sb="2" eb="3">
      <t>シャ</t>
    </rPh>
    <phoneticPr fontId="1"/>
  </si>
  <si>
    <t>本人該当区分_障害者</t>
    <rPh sb="0" eb="2">
      <t>ホンニン</t>
    </rPh>
    <rPh sb="2" eb="4">
      <t>ガイトウ</t>
    </rPh>
    <rPh sb="4" eb="6">
      <t>クブン</t>
    </rPh>
    <rPh sb="7" eb="10">
      <t>ショウガイシャ</t>
    </rPh>
    <phoneticPr fontId="1"/>
  </si>
  <si>
    <t>控除対象障害者</t>
    <rPh sb="0" eb="2">
      <t>コウジョ</t>
    </rPh>
    <rPh sb="2" eb="4">
      <t>タイショウ</t>
    </rPh>
    <rPh sb="4" eb="7">
      <t>ショウガイシャ</t>
    </rPh>
    <phoneticPr fontId="1"/>
  </si>
  <si>
    <t>本人該当区分_寡婦</t>
    <rPh sb="0" eb="2">
      <t>ホンニン</t>
    </rPh>
    <rPh sb="2" eb="4">
      <t>ガイトウ</t>
    </rPh>
    <rPh sb="4" eb="6">
      <t>クブン</t>
    </rPh>
    <rPh sb="7" eb="9">
      <t>カフ</t>
    </rPh>
    <phoneticPr fontId="1"/>
  </si>
  <si>
    <t>生計維持者の数</t>
    <rPh sb="0" eb="2">
      <t>セイケイ</t>
    </rPh>
    <rPh sb="2" eb="4">
      <t>イジ</t>
    </rPh>
    <rPh sb="4" eb="5">
      <t>シャ</t>
    </rPh>
    <rPh sb="6" eb="7">
      <t>カズ</t>
    </rPh>
    <phoneticPr fontId="1"/>
  </si>
  <si>
    <t>賦課期日</t>
    <rPh sb="0" eb="2">
      <t>フカ</t>
    </rPh>
    <rPh sb="2" eb="4">
      <t>キジツ</t>
    </rPh>
    <phoneticPr fontId="1"/>
  </si>
  <si>
    <t>指定都市</t>
    <rPh sb="0" eb="2">
      <t>シテイ</t>
    </rPh>
    <rPh sb="2" eb="4">
      <t>トシ</t>
    </rPh>
    <phoneticPr fontId="1"/>
  </si>
  <si>
    <t>配偶者控除</t>
    <rPh sb="0" eb="3">
      <t>ハイグウシャ</t>
    </rPh>
    <rPh sb="3" eb="5">
      <t>コウジョ</t>
    </rPh>
    <phoneticPr fontId="1"/>
  </si>
  <si>
    <t>扶養親族数</t>
    <rPh sb="0" eb="2">
      <t>フヨウ</t>
    </rPh>
    <rPh sb="2" eb="4">
      <t>シンゾク</t>
    </rPh>
    <rPh sb="4" eb="5">
      <t>スウ</t>
    </rPh>
    <phoneticPr fontId="1"/>
  </si>
  <si>
    <t>非課税限度</t>
    <rPh sb="0" eb="3">
      <t>ヒカゼイ</t>
    </rPh>
    <rPh sb="3" eb="5">
      <t>ゲンド</t>
    </rPh>
    <phoneticPr fontId="1"/>
  </si>
  <si>
    <t>本人該当障害</t>
    <rPh sb="0" eb="2">
      <t>ホンニン</t>
    </rPh>
    <rPh sb="2" eb="4">
      <t>ガイトウ</t>
    </rPh>
    <rPh sb="4" eb="6">
      <t>ショウガイ</t>
    </rPh>
    <phoneticPr fontId="1"/>
  </si>
  <si>
    <t>本人該当寡婦</t>
    <rPh sb="0" eb="2">
      <t>ホンニン</t>
    </rPh>
    <rPh sb="2" eb="4">
      <t>ガイトウ</t>
    </rPh>
    <rPh sb="4" eb="6">
      <t>カフ</t>
    </rPh>
    <phoneticPr fontId="1"/>
  </si>
  <si>
    <t>本人該当未成年</t>
    <rPh sb="0" eb="2">
      <t>ホンニン</t>
    </rPh>
    <rPh sb="2" eb="4">
      <t>ガイトウ</t>
    </rPh>
    <rPh sb="4" eb="7">
      <t>ミセイネン</t>
    </rPh>
    <phoneticPr fontId="1"/>
  </si>
  <si>
    <t>非課税の基準</t>
    <rPh sb="0" eb="3">
      <t>ヒカゼイ</t>
    </rPh>
    <rPh sb="4" eb="6">
      <t>キジュン</t>
    </rPh>
    <phoneticPr fontId="1"/>
  </si>
  <si>
    <t>課税標準額</t>
    <rPh sb="0" eb="2">
      <t>カゼイ</t>
    </rPh>
    <rPh sb="2" eb="4">
      <t>ヒョウジュン</t>
    </rPh>
    <rPh sb="4" eb="5">
      <t>ガク</t>
    </rPh>
    <phoneticPr fontId="1"/>
  </si>
  <si>
    <t>採用区分</t>
    <rPh sb="0" eb="2">
      <t>サイヨウ</t>
    </rPh>
    <rPh sb="2" eb="4">
      <t>クブン</t>
    </rPh>
    <phoneticPr fontId="1"/>
  </si>
  <si>
    <t>項目</t>
    <rPh sb="0" eb="2">
      <t>コウモク</t>
    </rPh>
    <phoneticPr fontId="1"/>
  </si>
  <si>
    <t>生計維持者区分</t>
    <rPh sb="0" eb="2">
      <t>セイケイ</t>
    </rPh>
    <rPh sb="2" eb="4">
      <t>イジ</t>
    </rPh>
    <rPh sb="4" eb="5">
      <t>シャ</t>
    </rPh>
    <rPh sb="5" eb="7">
      <t>クブン</t>
    </rPh>
    <phoneticPr fontId="1"/>
  </si>
  <si>
    <t>非課税判定</t>
    <rPh sb="0" eb="3">
      <t>ヒカゼイ</t>
    </rPh>
    <rPh sb="3" eb="5">
      <t>ハンテイ</t>
    </rPh>
    <phoneticPr fontId="1"/>
  </si>
  <si>
    <t>項番</t>
    <rPh sb="0" eb="2">
      <t>コウバン</t>
    </rPh>
    <phoneticPr fontId="1"/>
  </si>
  <si>
    <t>地方税法第第295条第1項第2号の
非課税の基準</t>
    <rPh sb="0" eb="3">
      <t>チホウゼイ</t>
    </rPh>
    <rPh sb="3" eb="4">
      <t>ホウ</t>
    </rPh>
    <rPh sb="4" eb="5">
      <t>ダイ</t>
    </rPh>
    <rPh sb="5" eb="6">
      <t>ダイ</t>
    </rPh>
    <rPh sb="9" eb="10">
      <t>ジョウ</t>
    </rPh>
    <rPh sb="10" eb="11">
      <t>ダイ</t>
    </rPh>
    <rPh sb="12" eb="13">
      <t>コウ</t>
    </rPh>
    <rPh sb="13" eb="14">
      <t>ダイ</t>
    </rPh>
    <rPh sb="15" eb="16">
      <t>ゴウ</t>
    </rPh>
    <rPh sb="18" eb="21">
      <t>ヒカゼイ</t>
    </rPh>
    <rPh sb="22" eb="24">
      <t>キジュン</t>
    </rPh>
    <phoneticPr fontId="1"/>
  </si>
  <si>
    <t>1.(1)①
2.(1)①</t>
    <phoneticPr fontId="1"/>
  </si>
  <si>
    <t>1.(1)②</t>
    <phoneticPr fontId="1"/>
  </si>
  <si>
    <t>1.(1)③</t>
    <phoneticPr fontId="1"/>
  </si>
  <si>
    <t>1.(1)④</t>
    <phoneticPr fontId="1"/>
  </si>
  <si>
    <t>1.(1)⑤</t>
    <phoneticPr fontId="1"/>
  </si>
  <si>
    <t>1.(2)</t>
    <phoneticPr fontId="1"/>
  </si>
  <si>
    <t>2.(1)②</t>
    <phoneticPr fontId="1"/>
  </si>
  <si>
    <t>2.(1)③</t>
    <phoneticPr fontId="1"/>
  </si>
  <si>
    <t>2.(1)④</t>
    <phoneticPr fontId="1"/>
  </si>
  <si>
    <t>2.(1)⑤</t>
    <phoneticPr fontId="1"/>
  </si>
  <si>
    <t>2.(1)⑥</t>
    <phoneticPr fontId="1"/>
  </si>
  <si>
    <t>2.(1)⑦</t>
    <phoneticPr fontId="1"/>
  </si>
  <si>
    <t>2.(1)⑧</t>
    <phoneticPr fontId="1"/>
  </si>
  <si>
    <t>2.(1)⑨</t>
    <phoneticPr fontId="1"/>
  </si>
  <si>
    <t>2.(2)</t>
    <phoneticPr fontId="1"/>
  </si>
  <si>
    <t>3.(1)①</t>
    <phoneticPr fontId="1"/>
  </si>
  <si>
    <t>3.(1)②</t>
    <phoneticPr fontId="1"/>
  </si>
  <si>
    <t>3.(1)③</t>
    <phoneticPr fontId="1"/>
  </si>
  <si>
    <t>3.(1)④</t>
    <phoneticPr fontId="1"/>
  </si>
  <si>
    <t>3.(2)</t>
    <phoneticPr fontId="1"/>
  </si>
  <si>
    <t>コード</t>
    <phoneticPr fontId="1"/>
  </si>
  <si>
    <t>独立生計</t>
    <rPh sb="0" eb="2">
      <t>ドクリツ</t>
    </rPh>
    <rPh sb="2" eb="4">
      <t>セイケイ</t>
    </rPh>
    <phoneticPr fontId="1"/>
  </si>
  <si>
    <t>大学等予約採用</t>
    <rPh sb="0" eb="2">
      <t>ダイガク</t>
    </rPh>
    <rPh sb="2" eb="3">
      <t>トウ</t>
    </rPh>
    <rPh sb="3" eb="5">
      <t>ヨヤク</t>
    </rPh>
    <rPh sb="5" eb="7">
      <t>サイヨウ</t>
    </rPh>
    <phoneticPr fontId="1"/>
  </si>
  <si>
    <t>春の大学等在学採用</t>
    <rPh sb="0" eb="1">
      <t>ハル</t>
    </rPh>
    <rPh sb="2" eb="4">
      <t>ダイガク</t>
    </rPh>
    <rPh sb="4" eb="5">
      <t>トウ</t>
    </rPh>
    <rPh sb="5" eb="7">
      <t>ザイガク</t>
    </rPh>
    <rPh sb="7" eb="9">
      <t>サイヨウ</t>
    </rPh>
    <phoneticPr fontId="1"/>
  </si>
  <si>
    <t>秋の大学等在学採用</t>
    <rPh sb="0" eb="1">
      <t>アキ</t>
    </rPh>
    <rPh sb="2" eb="4">
      <t>ダイガク</t>
    </rPh>
    <rPh sb="4" eb="5">
      <t>トウ</t>
    </rPh>
    <rPh sb="5" eb="7">
      <t>ザイガク</t>
    </rPh>
    <rPh sb="7" eb="9">
      <t>サイヨウ</t>
    </rPh>
    <phoneticPr fontId="1"/>
  </si>
  <si>
    <t>受給していない</t>
    <rPh sb="0" eb="2">
      <t>ジュキュウ</t>
    </rPh>
    <phoneticPr fontId="1"/>
  </si>
  <si>
    <t>受給している</t>
    <rPh sb="0" eb="2">
      <t>ジュキュウ</t>
    </rPh>
    <phoneticPr fontId="1"/>
  </si>
  <si>
    <t>政令指定都市でない</t>
    <rPh sb="0" eb="2">
      <t>セイレイ</t>
    </rPh>
    <rPh sb="2" eb="4">
      <t>シテイ</t>
    </rPh>
    <rPh sb="4" eb="6">
      <t>トシ</t>
    </rPh>
    <phoneticPr fontId="1"/>
  </si>
  <si>
    <t>政令指定都市</t>
    <rPh sb="0" eb="2">
      <t>セイレイ</t>
    </rPh>
    <rPh sb="2" eb="4">
      <t>シテイ</t>
    </rPh>
    <rPh sb="4" eb="6">
      <t>トシ</t>
    </rPh>
    <phoneticPr fontId="1"/>
  </si>
  <si>
    <t>非該当</t>
    <rPh sb="0" eb="1">
      <t>ヒ</t>
    </rPh>
    <rPh sb="1" eb="3">
      <t>ガイトウ</t>
    </rPh>
    <phoneticPr fontId="1"/>
  </si>
  <si>
    <t>一般の控除対象配偶者</t>
    <rPh sb="0" eb="2">
      <t>イッパン</t>
    </rPh>
    <rPh sb="3" eb="5">
      <t>コウジョ</t>
    </rPh>
    <rPh sb="5" eb="7">
      <t>タイショウ</t>
    </rPh>
    <rPh sb="7" eb="10">
      <t>ハイグウシャ</t>
    </rPh>
    <phoneticPr fontId="1"/>
  </si>
  <si>
    <t>老人控除対象配偶者</t>
    <rPh sb="0" eb="2">
      <t>ロウジン</t>
    </rPh>
    <rPh sb="2" eb="4">
      <t>コウジョ</t>
    </rPh>
    <rPh sb="4" eb="6">
      <t>タイショウ</t>
    </rPh>
    <rPh sb="6" eb="9">
      <t>ハイグウシャ</t>
    </rPh>
    <phoneticPr fontId="1"/>
  </si>
  <si>
    <t>控除対象配偶者を除く同一生計配偶者</t>
    <rPh sb="0" eb="2">
      <t>コウジョ</t>
    </rPh>
    <rPh sb="2" eb="4">
      <t>タイショウ</t>
    </rPh>
    <rPh sb="4" eb="7">
      <t>ハイグウシャ</t>
    </rPh>
    <rPh sb="8" eb="9">
      <t>ノゾ</t>
    </rPh>
    <rPh sb="10" eb="12">
      <t>ドウイツ</t>
    </rPh>
    <rPh sb="12" eb="14">
      <t>セイケイ</t>
    </rPh>
    <rPh sb="14" eb="17">
      <t>ハイグウシャ</t>
    </rPh>
    <phoneticPr fontId="1"/>
  </si>
  <si>
    <t>特別障害</t>
    <rPh sb="0" eb="2">
      <t>トクベツ</t>
    </rPh>
    <rPh sb="2" eb="4">
      <t>ショウガイ</t>
    </rPh>
    <phoneticPr fontId="1"/>
  </si>
  <si>
    <t>原爆障害</t>
    <rPh sb="0" eb="2">
      <t>ゲンバク</t>
    </rPh>
    <rPh sb="2" eb="4">
      <t>ショウガイ</t>
    </rPh>
    <phoneticPr fontId="1"/>
  </si>
  <si>
    <t>他障害</t>
    <rPh sb="0" eb="1">
      <t>タ</t>
    </rPh>
    <rPh sb="1" eb="3">
      <t>ショウガイ</t>
    </rPh>
    <phoneticPr fontId="1"/>
  </si>
  <si>
    <t>寡婦一般</t>
    <rPh sb="0" eb="2">
      <t>カフ</t>
    </rPh>
    <rPh sb="2" eb="4">
      <t>イッパン</t>
    </rPh>
    <phoneticPr fontId="1"/>
  </si>
  <si>
    <t>寡婦特別</t>
    <rPh sb="0" eb="2">
      <t>カフ</t>
    </rPh>
    <rPh sb="2" eb="4">
      <t>トクベツ</t>
    </rPh>
    <phoneticPr fontId="1"/>
  </si>
  <si>
    <t>寡夫</t>
    <rPh sb="0" eb="2">
      <t>カフ</t>
    </rPh>
    <phoneticPr fontId="1"/>
  </si>
  <si>
    <t>仮申込日</t>
    <rPh sb="0" eb="1">
      <t>カリ</t>
    </rPh>
    <rPh sb="1" eb="3">
      <t>モウシコミ</t>
    </rPh>
    <rPh sb="3" eb="4">
      <t>ビ</t>
    </rPh>
    <phoneticPr fontId="1"/>
  </si>
  <si>
    <t>合計所得金額（円）</t>
    <rPh sb="0" eb="2">
      <t>ゴウケイ</t>
    </rPh>
    <rPh sb="2" eb="4">
      <t>ショトク</t>
    </rPh>
    <rPh sb="4" eb="6">
      <t>キンガク</t>
    </rPh>
    <rPh sb="7" eb="8">
      <t>エン</t>
    </rPh>
    <phoneticPr fontId="1"/>
  </si>
  <si>
    <t>繰越控除額（円）</t>
    <rPh sb="0" eb="2">
      <t>クリコシ</t>
    </rPh>
    <rPh sb="2" eb="4">
      <t>コウジョ</t>
    </rPh>
    <rPh sb="4" eb="5">
      <t>ガク</t>
    </rPh>
    <rPh sb="6" eb="7">
      <t>エン</t>
    </rPh>
    <phoneticPr fontId="1"/>
  </si>
  <si>
    <t>一般（人）</t>
    <rPh sb="0" eb="2">
      <t>イッパン</t>
    </rPh>
    <rPh sb="3" eb="4">
      <t>ニン</t>
    </rPh>
    <phoneticPr fontId="1"/>
  </si>
  <si>
    <t>特定（人）</t>
    <rPh sb="0" eb="2">
      <t>トクテイ</t>
    </rPh>
    <rPh sb="3" eb="4">
      <t>ニン</t>
    </rPh>
    <phoneticPr fontId="1"/>
  </si>
  <si>
    <t>老人（人）</t>
    <rPh sb="0" eb="2">
      <t>ロウジン</t>
    </rPh>
    <rPh sb="3" eb="4">
      <t>ニン</t>
    </rPh>
    <phoneticPr fontId="1"/>
  </si>
  <si>
    <t>16歳未満扶養親族（人）</t>
    <rPh sb="2" eb="5">
      <t>サイミマン</t>
    </rPh>
    <rPh sb="5" eb="7">
      <t>フヨウ</t>
    </rPh>
    <rPh sb="7" eb="9">
      <t>シンゾク</t>
    </rPh>
    <rPh sb="10" eb="11">
      <t>ニン</t>
    </rPh>
    <phoneticPr fontId="1"/>
  </si>
  <si>
    <t>課税所得額（課税標準額）（円）</t>
    <rPh sb="0" eb="2">
      <t>カゼイ</t>
    </rPh>
    <rPh sb="2" eb="4">
      <t>ショトク</t>
    </rPh>
    <rPh sb="4" eb="5">
      <t>ガク</t>
    </rPh>
    <rPh sb="6" eb="8">
      <t>カゼイ</t>
    </rPh>
    <rPh sb="8" eb="10">
      <t>ヒョウジュン</t>
    </rPh>
    <rPh sb="10" eb="11">
      <t>ガク</t>
    </rPh>
    <rPh sb="13" eb="14">
      <t>エン</t>
    </rPh>
    <phoneticPr fontId="1"/>
  </si>
  <si>
    <t>市町村民税調整控除額（円）</t>
    <rPh sb="0" eb="3">
      <t>シチョウソン</t>
    </rPh>
    <rPh sb="3" eb="4">
      <t>ミン</t>
    </rPh>
    <rPh sb="4" eb="5">
      <t>ゼイ</t>
    </rPh>
    <rPh sb="5" eb="7">
      <t>チョウセイ</t>
    </rPh>
    <rPh sb="7" eb="9">
      <t>コウジョ</t>
    </rPh>
    <rPh sb="9" eb="10">
      <t>ガク</t>
    </rPh>
    <rPh sb="11" eb="12">
      <t>エン</t>
    </rPh>
    <phoneticPr fontId="1"/>
  </si>
  <si>
    <t>総所得金額等（円）</t>
    <rPh sb="0" eb="1">
      <t>ソウ</t>
    </rPh>
    <rPh sb="1" eb="3">
      <t>ショトク</t>
    </rPh>
    <rPh sb="3" eb="5">
      <t>キンガク</t>
    </rPh>
    <rPh sb="5" eb="6">
      <t>トウ</t>
    </rPh>
    <rPh sb="7" eb="8">
      <t>エン</t>
    </rPh>
    <phoneticPr fontId="1"/>
  </si>
  <si>
    <t>扶養親族の数（人）</t>
    <rPh sb="0" eb="2">
      <t>フヨウ</t>
    </rPh>
    <rPh sb="2" eb="4">
      <t>シンゾク</t>
    </rPh>
    <rPh sb="5" eb="6">
      <t>カズ</t>
    </rPh>
    <rPh sb="7" eb="8">
      <t>ニン</t>
    </rPh>
    <phoneticPr fontId="1"/>
  </si>
  <si>
    <t>地方税法附則第3条の3第4項の
非課税限度（円）</t>
    <rPh sb="0" eb="3">
      <t>チホウゼイ</t>
    </rPh>
    <rPh sb="3" eb="4">
      <t>ホウ</t>
    </rPh>
    <rPh sb="4" eb="6">
      <t>フソク</t>
    </rPh>
    <rPh sb="6" eb="7">
      <t>ダイ</t>
    </rPh>
    <rPh sb="8" eb="9">
      <t>ジョウ</t>
    </rPh>
    <rPh sb="11" eb="12">
      <t>ダイ</t>
    </rPh>
    <rPh sb="13" eb="14">
      <t>コウ</t>
    </rPh>
    <rPh sb="16" eb="19">
      <t>ヒカゼイ</t>
    </rPh>
    <rPh sb="19" eb="21">
      <t>ゲンド</t>
    </rPh>
    <rPh sb="22" eb="23">
      <t>エン</t>
    </rPh>
    <phoneticPr fontId="1"/>
  </si>
  <si>
    <t>Ⅰ．基本情報</t>
    <rPh sb="2" eb="4">
      <t>キホン</t>
    </rPh>
    <rPh sb="4" eb="6">
      <t>ジョウホウ</t>
    </rPh>
    <phoneticPr fontId="1"/>
  </si>
  <si>
    <t>経済基準の適格認定</t>
    <rPh sb="0" eb="2">
      <t>ケイザイ</t>
    </rPh>
    <rPh sb="2" eb="4">
      <t>キジュン</t>
    </rPh>
    <rPh sb="5" eb="7">
      <t>テキカク</t>
    </rPh>
    <rPh sb="7" eb="9">
      <t>ニンテイ</t>
    </rPh>
    <phoneticPr fontId="1"/>
  </si>
  <si>
    <t>区分</t>
    <rPh sb="0" eb="2">
      <t>クブン</t>
    </rPh>
    <phoneticPr fontId="1"/>
  </si>
  <si>
    <t>Ⅱ．地方税情報</t>
    <rPh sb="2" eb="5">
      <t>チホウゼイ</t>
    </rPh>
    <rPh sb="5" eb="7">
      <t>ジョウホウ</t>
    </rPh>
    <phoneticPr fontId="1"/>
  </si>
  <si>
    <t>税情報を参照しながら、黄色いセルは数値を入力、青いセルは該当するものを選択してください。</t>
    <rPh sb="0" eb="1">
      <t>ゼイ</t>
    </rPh>
    <rPh sb="1" eb="3">
      <t>ジョウホウ</t>
    </rPh>
    <rPh sb="4" eb="6">
      <t>サンショウ</t>
    </rPh>
    <rPh sb="11" eb="13">
      <t>キイロ</t>
    </rPh>
    <rPh sb="17" eb="19">
      <t>スウチ</t>
    </rPh>
    <rPh sb="20" eb="22">
      <t>ニュウリョク</t>
    </rPh>
    <rPh sb="23" eb="24">
      <t>アオ</t>
    </rPh>
    <rPh sb="28" eb="30">
      <t>ガイトウ</t>
    </rPh>
    <rPh sb="35" eb="37">
      <t>センタク</t>
    </rPh>
    <phoneticPr fontId="1"/>
  </si>
  <si>
    <t>【入力例】</t>
    <rPh sb="1" eb="3">
      <t>ニュウリョク</t>
    </rPh>
    <rPh sb="3" eb="4">
      <t>レイ</t>
    </rPh>
    <phoneticPr fontId="1"/>
  </si>
  <si>
    <t>　　</t>
    <phoneticPr fontId="1"/>
  </si>
  <si>
    <t>　</t>
    <phoneticPr fontId="1"/>
  </si>
  <si>
    <t>税制改正新旧判定</t>
    <rPh sb="0" eb="2">
      <t>ゼイセイ</t>
    </rPh>
    <rPh sb="2" eb="4">
      <t>カイセイ</t>
    </rPh>
    <rPh sb="4" eb="6">
      <t>シンキュウ</t>
    </rPh>
    <rPh sb="6" eb="8">
      <t>ハンテイ</t>
    </rPh>
    <phoneticPr fontId="1"/>
  </si>
  <si>
    <t>0…2021改正前、1…2021改正後</t>
    <rPh sb="6" eb="9">
      <t>カイセイマエ</t>
    </rPh>
    <rPh sb="16" eb="19">
      <t>カイセイゴ</t>
    </rPh>
    <phoneticPr fontId="1"/>
  </si>
  <si>
    <t>大学等在学中の予約採用（2019年度のみ）</t>
    <rPh sb="0" eb="2">
      <t>ダイガク</t>
    </rPh>
    <rPh sb="2" eb="3">
      <t>トウ</t>
    </rPh>
    <rPh sb="3" eb="6">
      <t>ザイガクチュウ</t>
    </rPh>
    <rPh sb="7" eb="9">
      <t>ヨヤク</t>
    </rPh>
    <rPh sb="9" eb="11">
      <t>サイヨウ</t>
    </rPh>
    <rPh sb="16" eb="18">
      <t>ネンド</t>
    </rPh>
    <phoneticPr fontId="1"/>
  </si>
  <si>
    <t>公開</t>
    <rPh sb="0" eb="2">
      <t>コウカイ</t>
    </rPh>
    <phoneticPr fontId="1"/>
  </si>
  <si>
    <t>ひとり親</t>
    <rPh sb="3" eb="4">
      <t>オヤ</t>
    </rPh>
    <phoneticPr fontId="1"/>
  </si>
  <si>
    <t>早生まれ適用年度判定</t>
    <rPh sb="0" eb="2">
      <t>ハヤウ</t>
    </rPh>
    <rPh sb="4" eb="6">
      <t>テキヨウ</t>
    </rPh>
    <rPh sb="6" eb="8">
      <t>ネンド</t>
    </rPh>
    <rPh sb="8" eb="10">
      <t>ハンテイ</t>
    </rPh>
    <phoneticPr fontId="1"/>
  </si>
  <si>
    <t>早生まれ控除額</t>
    <rPh sb="0" eb="2">
      <t>ハヤウ</t>
    </rPh>
    <rPh sb="4" eb="6">
      <t>コウジョ</t>
    </rPh>
    <rPh sb="6" eb="7">
      <t>ガク</t>
    </rPh>
    <phoneticPr fontId="1"/>
  </si>
  <si>
    <t>早生まれ判定</t>
    <rPh sb="0" eb="2">
      <t>ハヤウ</t>
    </rPh>
    <rPh sb="4" eb="6">
      <t>ハンテイ</t>
    </rPh>
    <phoneticPr fontId="1"/>
  </si>
  <si>
    <t>本人生年月日</t>
    <rPh sb="0" eb="2">
      <t>ホンニン</t>
    </rPh>
    <rPh sb="2" eb="4">
      <t>セイネン</t>
    </rPh>
    <rPh sb="4" eb="6">
      <t>ガッピ</t>
    </rPh>
    <phoneticPr fontId="1"/>
  </si>
  <si>
    <t>本人年末年齢</t>
    <rPh sb="0" eb="2">
      <t>ホンニン</t>
    </rPh>
    <rPh sb="2" eb="4">
      <t>ネンマツ</t>
    </rPh>
    <rPh sb="4" eb="6">
      <t>ネンレイ</t>
    </rPh>
    <phoneticPr fontId="1"/>
  </si>
  <si>
    <t>0…2022改正前、1…2022改正後</t>
    <rPh sb="6" eb="9">
      <t>カイセイマエ</t>
    </rPh>
    <rPh sb="16" eb="19">
      <t>カイセイゴ</t>
    </rPh>
    <phoneticPr fontId="1"/>
  </si>
  <si>
    <t>【課税証明書の例を用いた入力項目の案内】</t>
    <rPh sb="17" eb="19">
      <t>アンナイ</t>
    </rPh>
    <phoneticPr fontId="1"/>
  </si>
  <si>
    <t>控除対象寡婦・ひとり親</t>
    <rPh sb="0" eb="2">
      <t>コウジョ</t>
    </rPh>
    <rPh sb="2" eb="4">
      <t>タイショウ</t>
    </rPh>
    <rPh sb="4" eb="6">
      <t>カフ</t>
    </rPh>
    <rPh sb="10" eb="11">
      <t>オヤ</t>
    </rPh>
    <phoneticPr fontId="1"/>
  </si>
  <si>
    <t>（入力にあたって）</t>
    <rPh sb="1" eb="3">
      <t>ニュウリョク</t>
    </rPh>
    <phoneticPr fontId="1"/>
  </si>
  <si>
    <t>扶養している子どもの人数</t>
    <rPh sb="0" eb="2">
      <t>フヨウ</t>
    </rPh>
    <rPh sb="6" eb="7">
      <t>コ</t>
    </rPh>
    <rPh sb="10" eb="11">
      <t>ヒト</t>
    </rPh>
    <rPh sb="11" eb="12">
      <t>カズ</t>
    </rPh>
    <phoneticPr fontId="1"/>
  </si>
  <si>
    <t>調整控除額</t>
    <rPh sb="0" eb="2">
      <t>チョウセイ</t>
    </rPh>
    <rPh sb="2" eb="4">
      <t>コウジョ</t>
    </rPh>
    <rPh sb="4" eb="5">
      <t>ガク</t>
    </rPh>
    <phoneticPr fontId="1"/>
  </si>
  <si>
    <t>ひとり親控除</t>
    <rPh sb="3" eb="4">
      <t>オヤ</t>
    </rPh>
    <rPh sb="4" eb="6">
      <t>コウジョ</t>
    </rPh>
    <phoneticPr fontId="1"/>
  </si>
  <si>
    <t>多子世帯控除</t>
    <rPh sb="0" eb="2">
      <t>タシ</t>
    </rPh>
    <rPh sb="2" eb="4">
      <t>セタイ</t>
    </rPh>
    <rPh sb="4" eb="6">
      <t>コウジョ</t>
    </rPh>
    <phoneticPr fontId="1"/>
  </si>
  <si>
    <t>貸与額算定基準額</t>
    <rPh sb="0" eb="2">
      <t>タイヨ</t>
    </rPh>
    <rPh sb="2" eb="3">
      <t>ガク</t>
    </rPh>
    <rPh sb="3" eb="5">
      <t>サンテイ</t>
    </rPh>
    <rPh sb="5" eb="7">
      <t>キジュン</t>
    </rPh>
    <rPh sb="7" eb="8">
      <t>ガク</t>
    </rPh>
    <phoneticPr fontId="1"/>
  </si>
  <si>
    <t>私立自宅外控除</t>
    <rPh sb="0" eb="5">
      <t>シリツジタクガイ</t>
    </rPh>
    <rPh sb="5" eb="7">
      <t>コウジョ</t>
    </rPh>
    <phoneticPr fontId="1"/>
  </si>
  <si>
    <t>申請した奨学金</t>
    <rPh sb="0" eb="2">
      <t>シンセイ</t>
    </rPh>
    <rPh sb="4" eb="7">
      <t>ショウガクキン</t>
    </rPh>
    <phoneticPr fontId="1"/>
  </si>
  <si>
    <t>コード</t>
    <phoneticPr fontId="1"/>
  </si>
  <si>
    <t>第一種奨学金</t>
    <rPh sb="0" eb="6">
      <t>ダイイッシュショウガクキン</t>
    </rPh>
    <phoneticPr fontId="1"/>
  </si>
  <si>
    <t>第二種奨学金</t>
    <rPh sb="0" eb="2">
      <t>ダイニ</t>
    </rPh>
    <rPh sb="2" eb="3">
      <t>シュ</t>
    </rPh>
    <rPh sb="3" eb="6">
      <t>ショウガクキン</t>
    </rPh>
    <phoneticPr fontId="1"/>
  </si>
  <si>
    <t>両方希望した場合の希望</t>
    <rPh sb="0" eb="2">
      <t>リョウホウ</t>
    </rPh>
    <rPh sb="2" eb="4">
      <t>キボウ</t>
    </rPh>
    <rPh sb="6" eb="8">
      <t>バアイ</t>
    </rPh>
    <rPh sb="9" eb="11">
      <t>キボウ</t>
    </rPh>
    <phoneticPr fontId="1"/>
  </si>
  <si>
    <t>第一種と第二種の両方</t>
    <rPh sb="0" eb="3">
      <t>ダイイッシュ</t>
    </rPh>
    <rPh sb="4" eb="6">
      <t>ダイニ</t>
    </rPh>
    <rPh sb="6" eb="7">
      <t>シュ</t>
    </rPh>
    <rPh sb="8" eb="10">
      <t>リョウホウ</t>
    </rPh>
    <phoneticPr fontId="1"/>
  </si>
  <si>
    <t>第一種を優先する</t>
    <rPh sb="0" eb="3">
      <t>ダイイッシュ</t>
    </rPh>
    <rPh sb="4" eb="6">
      <t>ユウセン</t>
    </rPh>
    <phoneticPr fontId="1"/>
  </si>
  <si>
    <t>第二種を優先する</t>
    <rPh sb="0" eb="2">
      <t>ダイニ</t>
    </rPh>
    <rPh sb="2" eb="3">
      <t>シュ</t>
    </rPh>
    <rPh sb="4" eb="6">
      <t>ユウセン</t>
    </rPh>
    <phoneticPr fontId="1"/>
  </si>
  <si>
    <t>一種適格</t>
    <rPh sb="0" eb="2">
      <t>イッシュ</t>
    </rPh>
    <rPh sb="2" eb="4">
      <t>テキカク</t>
    </rPh>
    <phoneticPr fontId="1"/>
  </si>
  <si>
    <t>二種適格</t>
    <rPh sb="0" eb="2">
      <t>ニシュ</t>
    </rPh>
    <rPh sb="2" eb="4">
      <t>テキカク</t>
    </rPh>
    <phoneticPr fontId="1"/>
  </si>
  <si>
    <t>併用適格</t>
    <rPh sb="0" eb="2">
      <t>ヘイヨウ</t>
    </rPh>
    <rPh sb="2" eb="4">
      <t>テキカク</t>
    </rPh>
    <phoneticPr fontId="1"/>
  </si>
  <si>
    <t>貸与種別区分</t>
    <rPh sb="0" eb="2">
      <t>タイヨ</t>
    </rPh>
    <rPh sb="2" eb="4">
      <t>シュベツ</t>
    </rPh>
    <rPh sb="4" eb="6">
      <t>クブン</t>
    </rPh>
    <phoneticPr fontId="1"/>
  </si>
  <si>
    <t>併用優先順位</t>
    <rPh sb="0" eb="2">
      <t>ヘイヨウ</t>
    </rPh>
    <rPh sb="2" eb="4">
      <t>ユウセン</t>
    </rPh>
    <rPh sb="4" eb="6">
      <t>ジュンイ</t>
    </rPh>
    <phoneticPr fontId="1"/>
  </si>
  <si>
    <t>生計維持者の続柄</t>
    <rPh sb="0" eb="2">
      <t>セイケイ</t>
    </rPh>
    <rPh sb="2" eb="4">
      <t>イジ</t>
    </rPh>
    <rPh sb="4" eb="5">
      <t>シャ</t>
    </rPh>
    <rPh sb="6" eb="7">
      <t>ツヅキ</t>
    </rPh>
    <rPh sb="7" eb="8">
      <t>ガラ</t>
    </rPh>
    <phoneticPr fontId="1"/>
  </si>
  <si>
    <t>コード</t>
    <phoneticPr fontId="1"/>
  </si>
  <si>
    <t>父母以外</t>
    <rPh sb="0" eb="2">
      <t>フボ</t>
    </rPh>
    <rPh sb="2" eb="4">
      <t>イガイ</t>
    </rPh>
    <phoneticPr fontId="1"/>
  </si>
  <si>
    <t>父(養父を含む)</t>
    <rPh sb="0" eb="1">
      <t>チチ</t>
    </rPh>
    <rPh sb="2" eb="4">
      <t>ヨウフ</t>
    </rPh>
    <rPh sb="5" eb="6">
      <t>フク</t>
    </rPh>
    <phoneticPr fontId="1"/>
  </si>
  <si>
    <t>母(養母を含む)</t>
    <rPh sb="0" eb="1">
      <t>ハハ</t>
    </rPh>
    <rPh sb="2" eb="4">
      <t>ヨウボ</t>
    </rPh>
    <rPh sb="5" eb="6">
      <t>フク</t>
    </rPh>
    <phoneticPr fontId="1"/>
  </si>
  <si>
    <t>生計維持者の続柄</t>
    <rPh sb="0" eb="2">
      <t>セイケイ</t>
    </rPh>
    <rPh sb="2" eb="4">
      <t>イジ</t>
    </rPh>
    <rPh sb="4" eb="5">
      <t>シャ</t>
    </rPh>
    <rPh sb="6" eb="7">
      <t>ツヅキ</t>
    </rPh>
    <rPh sb="7" eb="8">
      <t>ガラ</t>
    </rPh>
    <phoneticPr fontId="1"/>
  </si>
  <si>
    <t>併用の家計基準に適格</t>
  </si>
  <si>
    <t>市町村民税調整額（円）</t>
    <rPh sb="0" eb="3">
      <t>シチョウソン</t>
    </rPh>
    <rPh sb="3" eb="4">
      <t>ミン</t>
    </rPh>
    <rPh sb="4" eb="5">
      <t>ゼイ</t>
    </rPh>
    <rPh sb="5" eb="7">
      <t>チョウセイ</t>
    </rPh>
    <rPh sb="7" eb="8">
      <t>ガク</t>
    </rPh>
    <rPh sb="9" eb="10">
      <t>エン</t>
    </rPh>
    <phoneticPr fontId="1"/>
  </si>
  <si>
    <t>定期採用対応、支給額算定基準額算定ツールと統合</t>
    <rPh sb="0" eb="2">
      <t>テイキ</t>
    </rPh>
    <rPh sb="2" eb="4">
      <t>サイヨウ</t>
    </rPh>
    <rPh sb="4" eb="6">
      <t>タイオウ</t>
    </rPh>
    <rPh sb="7" eb="15">
      <t>シキュウガクサンテイキジュンガク</t>
    </rPh>
    <rPh sb="15" eb="17">
      <t>サンテイ</t>
    </rPh>
    <rPh sb="21" eb="23">
      <t>トウゴウ</t>
    </rPh>
    <phoneticPr fontId="1"/>
  </si>
  <si>
    <t>調整額</t>
    <rPh sb="0" eb="2">
      <t>チョウセイ</t>
    </rPh>
    <rPh sb="2" eb="3">
      <t>ガク</t>
    </rPh>
    <phoneticPr fontId="1"/>
  </si>
  <si>
    <t>合算前貸与額算定基準額</t>
    <rPh sb="0" eb="2">
      <t>ガッサン</t>
    </rPh>
    <rPh sb="2" eb="3">
      <t>マエ</t>
    </rPh>
    <rPh sb="3" eb="5">
      <t>タイヨ</t>
    </rPh>
    <rPh sb="5" eb="6">
      <t>ガク</t>
    </rPh>
    <rPh sb="6" eb="8">
      <t>サンテイ</t>
    </rPh>
    <rPh sb="8" eb="10">
      <t>キジュン</t>
    </rPh>
    <rPh sb="10" eb="11">
      <t>ガク</t>
    </rPh>
    <phoneticPr fontId="1"/>
  </si>
  <si>
    <t>合算前支給額算定基準額</t>
    <rPh sb="0" eb="2">
      <t>ガッサン</t>
    </rPh>
    <rPh sb="2" eb="3">
      <t>マエ</t>
    </rPh>
    <rPh sb="3" eb="11">
      <t>シキュウガクサンテイキジュンガク</t>
    </rPh>
    <phoneticPr fontId="1"/>
  </si>
  <si>
    <t>貸与額算定基準額(早生まれ適用後)</t>
    <rPh sb="0" eb="2">
      <t>タイヨ</t>
    </rPh>
    <rPh sb="2" eb="3">
      <t>ガク</t>
    </rPh>
    <rPh sb="3" eb="5">
      <t>サンテイ</t>
    </rPh>
    <rPh sb="5" eb="7">
      <t>キジュン</t>
    </rPh>
    <rPh sb="7" eb="8">
      <t>ガク</t>
    </rPh>
    <rPh sb="9" eb="11">
      <t>ハヤウ</t>
    </rPh>
    <rPh sb="13" eb="15">
      <t>テキヨウ</t>
    </rPh>
    <rPh sb="15" eb="16">
      <t>ゴ</t>
    </rPh>
    <phoneticPr fontId="1"/>
  </si>
  <si>
    <t>支給額算定基準額（早生まれ適用後）</t>
    <rPh sb="0" eb="8">
      <t>シキュウガクサンテイキジュンガク</t>
    </rPh>
    <rPh sb="9" eb="11">
      <t>ハヤウ</t>
    </rPh>
    <rPh sb="13" eb="15">
      <t>テキヨウ</t>
    </rPh>
    <rPh sb="15" eb="16">
      <t>ゴ</t>
    </rPh>
    <phoneticPr fontId="1"/>
  </si>
  <si>
    <r>
      <t xml:space="preserve">対象の年度（西暦４桁）
</t>
    </r>
    <r>
      <rPr>
        <sz val="6"/>
        <color theme="1"/>
        <rFont val="ＭＳ Ｐゴシック"/>
        <family val="3"/>
        <charset val="128"/>
        <scheme val="minor"/>
      </rPr>
      <t>※申請する（申請した）年度、適格認定の場合は対象年度</t>
    </r>
    <rPh sb="0" eb="2">
      <t>タイショウ</t>
    </rPh>
    <rPh sb="3" eb="5">
      <t>ネンド</t>
    </rPh>
    <rPh sb="6" eb="8">
      <t>セイレキ</t>
    </rPh>
    <rPh sb="9" eb="10">
      <t>ケタ</t>
    </rPh>
    <rPh sb="13" eb="15">
      <t>シンセイ</t>
    </rPh>
    <rPh sb="18" eb="20">
      <t>シンセイ</t>
    </rPh>
    <rPh sb="23" eb="25">
      <t>ネンド</t>
    </rPh>
    <rPh sb="26" eb="28">
      <t>テキカク</t>
    </rPh>
    <rPh sb="28" eb="30">
      <t>ニンテイ</t>
    </rPh>
    <rPh sb="31" eb="33">
      <t>バアイ</t>
    </rPh>
    <rPh sb="34" eb="36">
      <t>タイショウ</t>
    </rPh>
    <rPh sb="36" eb="38">
      <t>ネンド</t>
    </rPh>
    <phoneticPr fontId="1"/>
  </si>
  <si>
    <t>分野</t>
    <rPh sb="0" eb="2">
      <t>ブンヤ</t>
    </rPh>
    <phoneticPr fontId="1"/>
  </si>
  <si>
    <t>理工農系でない</t>
    <rPh sb="0" eb="4">
      <t>リコウノウケイ</t>
    </rPh>
    <phoneticPr fontId="1"/>
  </si>
  <si>
    <t>理工農系である</t>
    <rPh sb="0" eb="4">
      <t>リコウノウケイ</t>
    </rPh>
    <phoneticPr fontId="1"/>
  </si>
  <si>
    <t>貸与判定結果</t>
    <rPh sb="0" eb="2">
      <t>タイヨ</t>
    </rPh>
    <rPh sb="2" eb="4">
      <t>ハンテイ</t>
    </rPh>
    <rPh sb="4" eb="6">
      <t>ケッカ</t>
    </rPh>
    <phoneticPr fontId="1"/>
  </si>
  <si>
    <t>「子ども」の数</t>
    <rPh sb="1" eb="2">
      <t>コ</t>
    </rPh>
    <rPh sb="6" eb="7">
      <t>カズ</t>
    </rPh>
    <phoneticPr fontId="1"/>
  </si>
  <si>
    <t>第Ⅳ区分表示</t>
    <rPh sb="0" eb="1">
      <t>ダイ</t>
    </rPh>
    <rPh sb="2" eb="4">
      <t>クブン</t>
    </rPh>
    <rPh sb="4" eb="6">
      <t>ヒョウジ</t>
    </rPh>
    <phoneticPr fontId="1"/>
  </si>
  <si>
    <t>コメント</t>
    <phoneticPr fontId="1"/>
  </si>
  <si>
    <t>この時点での貸与と給付の差異は調整額を見るかどうか</t>
    <rPh sb="2" eb="4">
      <t>ジテン</t>
    </rPh>
    <rPh sb="6" eb="8">
      <t>タイヨ</t>
    </rPh>
    <rPh sb="9" eb="11">
      <t>キュウフ</t>
    </rPh>
    <rPh sb="12" eb="14">
      <t>サイ</t>
    </rPh>
    <rPh sb="15" eb="17">
      <t>チョウセイ</t>
    </rPh>
    <rPh sb="17" eb="18">
      <t>ガク</t>
    </rPh>
    <rPh sb="19" eb="20">
      <t>ミ</t>
    </rPh>
    <phoneticPr fontId="1"/>
  </si>
  <si>
    <t>生計維持者の「子ども」の数（人）</t>
    <rPh sb="0" eb="2">
      <t>セイケイ</t>
    </rPh>
    <rPh sb="2" eb="4">
      <t>イジ</t>
    </rPh>
    <rPh sb="4" eb="5">
      <t>シャ</t>
    </rPh>
    <rPh sb="7" eb="8">
      <t>コ</t>
    </rPh>
    <rPh sb="12" eb="13">
      <t>カズ</t>
    </rPh>
    <rPh sb="14" eb="15">
      <t>ニン</t>
    </rPh>
    <phoneticPr fontId="1"/>
  </si>
  <si>
    <t>年</t>
    <rPh sb="0" eb="1">
      <t>ネン</t>
    </rPh>
    <phoneticPr fontId="1"/>
  </si>
  <si>
    <t>扶養</t>
    <rPh sb="0" eb="2">
      <t>フヨウ</t>
    </rPh>
    <phoneticPr fontId="1"/>
  </si>
  <si>
    <t>扶養されている</t>
    <rPh sb="0" eb="2">
      <t>フヨウ</t>
    </rPh>
    <phoneticPr fontId="1"/>
  </si>
  <si>
    <t>扶養されていない</t>
    <rPh sb="0" eb="2">
      <t>フヨウ</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</si>
  <si>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rPh sb="33" eb="35">
      <t>ヒダリガワ</t>
    </rPh>
    <rPh sb="36" eb="38">
      <t>ニュウリョク</t>
    </rPh>
    <rPh sb="43" eb="45">
      <t>ミギガワ</t>
    </rPh>
    <rPh sb="46" eb="47">
      <t>アラ</t>
    </rPh>
    <rPh sb="49" eb="51">
      <t>シツモン</t>
    </rPh>
    <rPh sb="52" eb="54">
      <t>ヒョウジ</t>
    </rPh>
    <phoneticPr fontId="1"/>
  </si>
  <si>
    <t>エラーチェック（特に未入力項目）は検討中</t>
    <rPh sb="8" eb="9">
      <t>トク</t>
    </rPh>
    <rPh sb="10" eb="13">
      <t>ミニュウリョク</t>
    </rPh>
    <rPh sb="13" eb="15">
      <t>コウモク</t>
    </rPh>
    <rPh sb="17" eb="20">
      <t>ケントウチュウ</t>
    </rPh>
    <phoneticPr fontId="1"/>
  </si>
  <si>
    <t>申請した奨学金の種別</t>
    <rPh sb="0" eb="2">
      <t>シンセイ</t>
    </rPh>
    <rPh sb="4" eb="7">
      <t>ショウガクキン</t>
    </rPh>
    <rPh sb="8" eb="10">
      <t>シュベツ</t>
    </rPh>
    <phoneticPr fontId="1"/>
  </si>
  <si>
    <t>生計維持者の数（人）</t>
    <rPh sb="0" eb="2">
      <t>セイケイ</t>
    </rPh>
    <rPh sb="2" eb="4">
      <t>イジ</t>
    </rPh>
    <rPh sb="4" eb="5">
      <t>シャ</t>
    </rPh>
    <rPh sb="6" eb="7">
      <t>カズ</t>
    </rPh>
    <rPh sb="8" eb="9">
      <t>ヒト</t>
    </rPh>
    <phoneticPr fontId="1"/>
  </si>
  <si>
    <t>設置者</t>
    <rPh sb="0" eb="3">
      <t>セッチシャ</t>
    </rPh>
    <phoneticPr fontId="1"/>
  </si>
  <si>
    <t>国・公立</t>
    <rPh sb="0" eb="1">
      <t>クニ</t>
    </rPh>
    <rPh sb="2" eb="4">
      <t>コウリツ</t>
    </rPh>
    <phoneticPr fontId="1"/>
  </si>
  <si>
    <t>私立</t>
    <rPh sb="0" eb="2">
      <t>シリツ</t>
    </rPh>
    <phoneticPr fontId="1"/>
  </si>
  <si>
    <t>通学形態</t>
    <rPh sb="0" eb="2">
      <t>ツウガク</t>
    </rPh>
    <rPh sb="2" eb="4">
      <t>ケイタイ</t>
    </rPh>
    <phoneticPr fontId="1"/>
  </si>
  <si>
    <t>自宅から通学</t>
    <rPh sb="0" eb="2">
      <t>ジタク</t>
    </rPh>
    <rPh sb="4" eb="6">
      <t>ツウガク</t>
    </rPh>
    <phoneticPr fontId="1"/>
  </si>
  <si>
    <t>自宅外から通学</t>
    <rPh sb="0" eb="2">
      <t>ジタク</t>
    </rPh>
    <rPh sb="2" eb="3">
      <t>ガイ</t>
    </rPh>
    <rPh sb="5" eb="7">
      <t>ツウガク</t>
    </rPh>
    <phoneticPr fontId="1"/>
  </si>
  <si>
    <t>通学形態を選択してください。</t>
    <phoneticPr fontId="1"/>
  </si>
  <si>
    <t>両方を希望した場合の優先順位を選択してください。</t>
    <phoneticPr fontId="1"/>
  </si>
  <si>
    <t>生計維持者１の続柄を選択してください。</t>
    <phoneticPr fontId="1"/>
  </si>
  <si>
    <t>申込者/奨学生は生計維持者に扶養されていますか。</t>
    <phoneticPr fontId="1"/>
  </si>
  <si>
    <t>在籍している学科等は理工農系の分野ですか。</t>
    <phoneticPr fontId="1"/>
  </si>
  <si>
    <t>在籍校の設置者を選択してください。</t>
    <phoneticPr fontId="1"/>
  </si>
  <si>
    <t>貸与額算定基準額（円）
[または 支給額算定基準額（円）]</t>
    <rPh sb="0" eb="8">
      <t>タイヨガクサンテイキジュンガク</t>
    </rPh>
    <rPh sb="3" eb="5">
      <t>サンテイ</t>
    </rPh>
    <rPh sb="5" eb="7">
      <t>キジュン</t>
    </rPh>
    <rPh sb="7" eb="8">
      <t>ガク</t>
    </rPh>
    <rPh sb="9" eb="10">
      <t>エン</t>
    </rPh>
    <rPh sb="17" eb="25">
      <t>シキュウガクサンテイキジュンガク</t>
    </rPh>
    <rPh sb="26" eb="27">
      <t>エン</t>
    </rPh>
    <phoneticPr fontId="1"/>
  </si>
  <si>
    <t>世帯の貸与額算定基準額（円）
[または 世帯の支給額算定基準額（円）]</t>
    <rPh sb="0" eb="2">
      <t>セタイ</t>
    </rPh>
    <rPh sb="3" eb="11">
      <t>タイヨガクサンテイキジュンガク</t>
    </rPh>
    <rPh sb="12" eb="13">
      <t>エン</t>
    </rPh>
    <rPh sb="20" eb="22">
      <t>セタイ</t>
    </rPh>
    <rPh sb="23" eb="31">
      <t>シキュウガクサンテイキジュンガク</t>
    </rPh>
    <rPh sb="32" eb="33">
      <t>エン</t>
    </rPh>
    <phoneticPr fontId="1"/>
  </si>
  <si>
    <t>家計基準が適格となる種別
[または 支援区分]</t>
    <rPh sb="0" eb="2">
      <t>カケイ</t>
    </rPh>
    <rPh sb="2" eb="4">
      <t>キジュン</t>
    </rPh>
    <rPh sb="5" eb="7">
      <t>テキカク</t>
    </rPh>
    <rPh sb="10" eb="12">
      <t>シュベツ</t>
    </rPh>
    <rPh sb="18" eb="20">
      <t>シエン</t>
    </rPh>
    <rPh sb="20" eb="22">
      <t>クブン</t>
    </rPh>
    <phoneticPr fontId="1"/>
  </si>
  <si>
    <t>課税証明書（所得証明書）は、2024年度（2023年分）のものを用意してください。</t>
    <phoneticPr fontId="1"/>
  </si>
  <si>
    <t>2024年1月1日時点の生活保護法の
生活扶助の受給</t>
    <phoneticPr fontId="1"/>
  </si>
  <si>
    <r>
      <t>ツール入力項目等との対応関係を赤丸</t>
    </r>
    <r>
      <rPr>
        <b/>
        <sz val="11"/>
        <color rgb="FFFF0000"/>
        <rFont val="ＭＳ Ｐゴシック"/>
        <family val="3"/>
        <charset val="128"/>
        <scheme val="minor"/>
      </rPr>
      <t>○</t>
    </r>
    <r>
      <rPr>
        <sz val="11"/>
        <rFont val="ＭＳ Ｐゴシック"/>
        <family val="3"/>
        <charset val="128"/>
        <scheme val="minor"/>
      </rPr>
      <t>内の数字で説明します。</t>
    </r>
    <rPh sb="3" eb="5">
      <t>ニュウリョク</t>
    </rPh>
    <rPh sb="5" eb="7">
      <t>コウモク</t>
    </rPh>
    <rPh sb="7" eb="8">
      <t>トウ</t>
    </rPh>
    <rPh sb="10" eb="12">
      <t>タイオウ</t>
    </rPh>
    <rPh sb="12" eb="14">
      <t>カンケイ</t>
    </rPh>
    <rPh sb="15" eb="17">
      <t>アカマル</t>
    </rPh>
    <rPh sb="18" eb="19">
      <t>ナイ</t>
    </rPh>
    <rPh sb="20" eb="22">
      <t>スウジ</t>
    </rPh>
    <rPh sb="23" eb="25">
      <t>セツメイ</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</si>
  <si>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phoneticPr fontId="1"/>
  </si>
  <si>
    <t>入力例の記載を修正</t>
    <rPh sb="0" eb="2">
      <t>ニュウリョク</t>
    </rPh>
    <rPh sb="2" eb="3">
      <t>レイ</t>
    </rPh>
    <rPh sb="4" eb="6">
      <t>キサイ</t>
    </rPh>
    <rPh sb="7" eb="9">
      <t>シュウセイ</t>
    </rPh>
    <phoneticPr fontId="1"/>
  </si>
  <si>
    <t>大学院対応</t>
    <rPh sb="0" eb="3">
      <t>ダイガクイン</t>
    </rPh>
    <rPh sb="3" eb="5">
      <t>タイオウ</t>
    </rPh>
    <phoneticPr fontId="1"/>
  </si>
  <si>
    <t>大学院予約採用</t>
    <rPh sb="0" eb="3">
      <t>ダイガクイン</t>
    </rPh>
    <rPh sb="3" eb="5">
      <t>ヨヤク</t>
    </rPh>
    <rPh sb="5" eb="7">
      <t>サイヨウ</t>
    </rPh>
    <phoneticPr fontId="1"/>
  </si>
  <si>
    <t>春の大学院在学採用</t>
    <rPh sb="0" eb="1">
      <t>ハル</t>
    </rPh>
    <rPh sb="2" eb="5">
      <t>ダイガクイン</t>
    </rPh>
    <rPh sb="5" eb="7">
      <t>ザイガク</t>
    </rPh>
    <rPh sb="7" eb="9">
      <t>サイヨウ</t>
    </rPh>
    <phoneticPr fontId="1"/>
  </si>
  <si>
    <t>秋の大学院在学採用</t>
    <rPh sb="0" eb="1">
      <t>アキ</t>
    </rPh>
    <rPh sb="2" eb="5">
      <t>ダイガクイン</t>
    </rPh>
    <rPh sb="5" eb="7">
      <t>ザイガク</t>
    </rPh>
    <rPh sb="7" eb="9">
      <t>サイヨウ</t>
    </rPh>
    <phoneticPr fontId="1"/>
  </si>
  <si>
    <t>大学院</t>
    <rPh sb="0" eb="3">
      <t>ダイガクイン</t>
    </rPh>
    <phoneticPr fontId="1"/>
  </si>
  <si>
    <t>大学院一種適格</t>
    <rPh sb="0" eb="3">
      <t>ダイガクイン</t>
    </rPh>
    <rPh sb="3" eb="5">
      <t>イッシュ</t>
    </rPh>
    <rPh sb="5" eb="7">
      <t>テキカク</t>
    </rPh>
    <phoneticPr fontId="1"/>
  </si>
  <si>
    <t>大学院一種特例</t>
    <rPh sb="0" eb="3">
      <t>ダイガクイン</t>
    </rPh>
    <rPh sb="3" eb="5">
      <t>イッシュ</t>
    </rPh>
    <rPh sb="5" eb="7">
      <t>トクレイ</t>
    </rPh>
    <phoneticPr fontId="1"/>
  </si>
  <si>
    <t>大学院二種適格</t>
    <rPh sb="0" eb="3">
      <t>ダイガクイン</t>
    </rPh>
    <rPh sb="3" eb="5">
      <t>ニシュ</t>
    </rPh>
    <rPh sb="5" eb="7">
      <t>テキカク</t>
    </rPh>
    <phoneticPr fontId="1"/>
  </si>
  <si>
    <t>大学院併用適格</t>
    <rPh sb="0" eb="3">
      <t>ダイガクイン</t>
    </rPh>
    <rPh sb="3" eb="5">
      <t>ヘイヨウ</t>
    </rPh>
    <rPh sb="5" eb="7">
      <t>テキカク</t>
    </rPh>
    <phoneticPr fontId="1"/>
  </si>
  <si>
    <t>大学院の課程</t>
    <rPh sb="0" eb="3">
      <t>ダイガクイン</t>
    </rPh>
    <rPh sb="4" eb="6">
      <t>カテイ</t>
    </rPh>
    <phoneticPr fontId="1"/>
  </si>
  <si>
    <t>修士課程
（博士前期・専門職大学院を含む）</t>
    <rPh sb="0" eb="2">
      <t>シュウシ</t>
    </rPh>
    <rPh sb="2" eb="4">
      <t>カテイ</t>
    </rPh>
    <rPh sb="6" eb="8">
      <t>ハクシ</t>
    </rPh>
    <rPh sb="8" eb="10">
      <t>ゼンキ</t>
    </rPh>
    <rPh sb="11" eb="13">
      <t>センモン</t>
    </rPh>
    <rPh sb="13" eb="14">
      <t>ショク</t>
    </rPh>
    <rPh sb="14" eb="17">
      <t>ダイガクイン</t>
    </rPh>
    <rPh sb="18" eb="19">
      <t>フク</t>
    </rPh>
    <phoneticPr fontId="1"/>
  </si>
  <si>
    <t>博士課程</t>
    <rPh sb="0" eb="2">
      <t>ハクシ</t>
    </rPh>
    <rPh sb="2" eb="4">
      <t>カテイ</t>
    </rPh>
    <phoneticPr fontId="1"/>
  </si>
  <si>
    <r>
      <t>・本ツールに正確に情報を入力するには、申込者</t>
    </r>
    <r>
      <rPr>
        <sz val="11"/>
        <color rgb="FFFF0000"/>
        <rFont val="ＭＳ Ｐゴシック"/>
        <family val="3"/>
        <charset val="128"/>
        <scheme val="minor"/>
      </rPr>
      <t>（大学院で配偶者がいる場合、配偶者も含む）</t>
    </r>
    <r>
      <rPr>
        <sz val="11"/>
        <color theme="1"/>
        <rFont val="ＭＳ Ｐゴシック"/>
        <family val="2"/>
        <scheme val="minor"/>
      </rPr>
      <t>や生計維持者それぞれの、市町村民税の課税証明書（自治体によっては「所得証明書」。以下同様。）又はマイナポータルにログインしていただき取得していただいた</t>
    </r>
    <r>
      <rPr>
        <sz val="11"/>
        <color theme="1"/>
        <rFont val="ＭＳ Ｐゴシック"/>
        <family val="3"/>
        <charset val="128"/>
        <scheme val="minor"/>
      </rPr>
      <t>個人住民税情報が必要です。ここでは、課税証明書を用いて入力する対応関係を説明します。
・下記の課税証明書は一例であり、特定の市町村のものではありません。課税証明書の書式は自治体によって大きく異なります。自治体により、例に記載されている項目が存在しなかったり、名称が異なったりする場合があります。ただし、「所得のみ記載されている証明書」や「税額のみ記載されている証明書」では、貸与額算定基準額は算定できません。
・本ツールにご入力いただいて得られた結果と実際の奨学金の選考結果が相違する場合であっても、本機構はその責任を負いません。
・ツール内部の詳しい計算方法については、本機構が別に公表している「支給額算定基準額・貸与額算定基準額の計算手順（確認シート）」もご覧ください。</t>
    </r>
    <rPh sb="1" eb="2">
      <t>ホン</t>
    </rPh>
    <rPh sb="6" eb="8">
      <t>セイカク</t>
    </rPh>
    <rPh sb="9" eb="11">
      <t>ジョウホウ</t>
    </rPh>
    <rPh sb="12" eb="14">
      <t>ニュウリョク</t>
    </rPh>
    <rPh sb="19" eb="21">
      <t>モウシコミ</t>
    </rPh>
    <rPh sb="21" eb="22">
      <t>シャ</t>
    </rPh>
    <rPh sb="23" eb="26">
      <t>ダイガクイン</t>
    </rPh>
    <rPh sb="27" eb="30">
      <t>ハイグウシャ</t>
    </rPh>
    <rPh sb="33" eb="35">
      <t>バアイ</t>
    </rPh>
    <rPh sb="36" eb="39">
      <t>ハイグウシャ</t>
    </rPh>
    <rPh sb="40" eb="41">
      <t>フク</t>
    </rPh>
    <rPh sb="44" eb="46">
      <t>セイケイ</t>
    </rPh>
    <rPh sb="46" eb="48">
      <t>イジ</t>
    </rPh>
    <rPh sb="48" eb="49">
      <t>シャ</t>
    </rPh>
    <rPh sb="55" eb="60">
      <t>シチョウソンミンゼイ</t>
    </rPh>
    <rPh sb="61" eb="63">
      <t>カゼイ</t>
    </rPh>
    <rPh sb="63" eb="66">
      <t>ショウメイショ</t>
    </rPh>
    <rPh sb="83" eb="85">
      <t>イカ</t>
    </rPh>
    <rPh sb="85" eb="87">
      <t>ドウヨウ</t>
    </rPh>
    <rPh sb="89" eb="90">
      <t>マタ</t>
    </rPh>
    <rPh sb="109" eb="111">
      <t>シュトク</t>
    </rPh>
    <rPh sb="123" eb="125">
      <t>ジョウホウ</t>
    </rPh>
    <rPh sb="126" eb="128">
      <t>ヒツヨウ</t>
    </rPh>
    <rPh sb="136" eb="138">
      <t>カゼイ</t>
    </rPh>
    <rPh sb="138" eb="141">
      <t>ショウメイショ</t>
    </rPh>
    <rPh sb="142" eb="143">
      <t>モチ</t>
    </rPh>
    <rPh sb="145" eb="147">
      <t>ニュウリョク</t>
    </rPh>
    <rPh sb="149" eb="151">
      <t>タイオウ</t>
    </rPh>
    <rPh sb="151" eb="153">
      <t>カンケイ</t>
    </rPh>
    <rPh sb="154" eb="156">
      <t>セツメイ</t>
    </rPh>
    <rPh sb="162" eb="164">
      <t>カキ</t>
    </rPh>
    <rPh sb="165" eb="167">
      <t>カゼイ</t>
    </rPh>
    <rPh sb="167" eb="170">
      <t>ショウメイショ</t>
    </rPh>
    <rPh sb="171" eb="173">
      <t>イチレイ</t>
    </rPh>
    <rPh sb="177" eb="179">
      <t>トクテイ</t>
    </rPh>
    <rPh sb="180" eb="183">
      <t>シチョウソン</t>
    </rPh>
    <rPh sb="194" eb="196">
      <t>カゼイ</t>
    </rPh>
    <rPh sb="196" eb="199">
      <t>ショウメイショ</t>
    </rPh>
    <rPh sb="200" eb="202">
      <t>ショシキ</t>
    </rPh>
    <rPh sb="203" eb="206">
      <t>ジチタイ</t>
    </rPh>
    <rPh sb="210" eb="211">
      <t>オオ</t>
    </rPh>
    <rPh sb="213" eb="214">
      <t>コト</t>
    </rPh>
    <rPh sb="305" eb="307">
      <t>タイヨ</t>
    </rPh>
    <rPh sb="324" eb="325">
      <t>ホン</t>
    </rPh>
    <rPh sb="330" eb="332">
      <t>ニュウリョク</t>
    </rPh>
    <rPh sb="337" eb="338">
      <t>エ</t>
    </rPh>
    <rPh sb="341" eb="343">
      <t>ケッカ</t>
    </rPh>
    <rPh sb="344" eb="346">
      <t>ジッサイ</t>
    </rPh>
    <rPh sb="347" eb="350">
      <t>ショウガクキン</t>
    </rPh>
    <rPh sb="351" eb="353">
      <t>センコウ</t>
    </rPh>
    <rPh sb="353" eb="355">
      <t>ケッカ</t>
    </rPh>
    <rPh sb="356" eb="358">
      <t>ソウイ</t>
    </rPh>
    <rPh sb="360" eb="362">
      <t>バアイ</t>
    </rPh>
    <rPh sb="368" eb="369">
      <t>ホン</t>
    </rPh>
    <rPh sb="369" eb="371">
      <t>キコウ</t>
    </rPh>
    <rPh sb="374" eb="376">
      <t>セキニン</t>
    </rPh>
    <rPh sb="377" eb="378">
      <t>オ</t>
    </rPh>
    <rPh sb="404" eb="405">
      <t>ホン</t>
    </rPh>
    <rPh sb="405" eb="407">
      <t>キコウ</t>
    </rPh>
    <rPh sb="408" eb="409">
      <t>ベツ</t>
    </rPh>
    <rPh sb="410" eb="412">
      <t>コウヒョウ</t>
    </rPh>
    <rPh sb="417" eb="425">
      <t>シキュウガクサンテイキジュンガク</t>
    </rPh>
    <rPh sb="426" eb="428">
      <t>タイヨ</t>
    </rPh>
    <phoneticPr fontId="1"/>
  </si>
  <si>
    <t>アローアンス文言修正</t>
    <rPh sb="6" eb="8">
      <t>モンゴン</t>
    </rPh>
    <rPh sb="8" eb="10">
      <t>シュウセイ</t>
    </rPh>
    <phoneticPr fontId="1"/>
  </si>
  <si>
    <t>家計基準判定ツール（大学院以外用）</t>
    <rPh sb="0" eb="2">
      <t>カケイ</t>
    </rPh>
    <rPh sb="2" eb="4">
      <t>キジュン</t>
    </rPh>
    <rPh sb="4" eb="6">
      <t>ハンテイ</t>
    </rPh>
    <rPh sb="10" eb="12">
      <t>ダイガク</t>
    </rPh>
    <rPh sb="12" eb="13">
      <t>イン</t>
    </rPh>
    <rPh sb="13" eb="15">
      <t>イガイ</t>
    </rPh>
    <rPh sb="15" eb="16">
      <t>ヨウ</t>
    </rPh>
    <phoneticPr fontId="1"/>
  </si>
  <si>
    <t>トビタテ！留学JAPAN【大学生等対象】2025年度（第17期）応募用</t>
    <phoneticPr fontId="1"/>
  </si>
  <si>
    <t>本ツールによる判定結果が「家計基準内」であっても、「第二種奨学金（在学採用）」の選考結果は</t>
    <rPh sb="0" eb="1">
      <t>ホン</t>
    </rPh>
    <rPh sb="7" eb="9">
      <t>ハンテイ</t>
    </rPh>
    <rPh sb="9" eb="11">
      <t>ケッカ</t>
    </rPh>
    <rPh sb="13" eb="15">
      <t>カケイ</t>
    </rPh>
    <rPh sb="15" eb="17">
      <t>キジュン</t>
    </rPh>
    <rPh sb="17" eb="18">
      <t>ナイ</t>
    </rPh>
    <rPh sb="26" eb="29">
      <t>ダイニシュ</t>
    </rPh>
    <rPh sb="29" eb="32">
      <t>ショウガクキン</t>
    </rPh>
    <rPh sb="33" eb="35">
      <t>ザイガク</t>
    </rPh>
    <rPh sb="35" eb="37">
      <t>サイヨウ</t>
    </rPh>
    <rPh sb="40" eb="42">
      <t>センコウ</t>
    </rPh>
    <rPh sb="42" eb="44">
      <t>ケッカ</t>
    </rPh>
    <phoneticPr fontId="1"/>
  </si>
  <si>
    <t>異なる可能性がありますので、ご了承ください。</t>
  </si>
  <si>
    <t>入力にあたっては、別シート「入力例」もご覧ください。</t>
    <rPh sb="0" eb="2">
      <t>ニュウリョク</t>
    </rPh>
    <rPh sb="9" eb="10">
      <t>ベツ</t>
    </rPh>
    <rPh sb="14" eb="16">
      <t>ニュウリョク</t>
    </rPh>
    <rPh sb="16" eb="17">
      <t>レイ</t>
    </rPh>
    <rPh sb="20" eb="21">
      <t>ラン</t>
    </rPh>
    <phoneticPr fontId="1"/>
  </si>
  <si>
    <r>
      <t>【各項目の説明】</t>
    </r>
    <r>
      <rPr>
        <b/>
        <sz val="10"/>
        <color rgb="FF0000FF"/>
        <rFont val="ＭＳ Ｐゴシック"/>
        <family val="3"/>
        <charset val="128"/>
        <scheme val="minor"/>
      </rPr>
      <t>★トビタテの家計基準の判定では、1および4～19を実施してください★</t>
    </r>
    <r>
      <rPr>
        <sz val="10"/>
        <rFont val="ＭＳ Ｐゴシック"/>
        <family val="3"/>
        <charset val="128"/>
        <scheme val="minor"/>
      </rPr>
      <t xml:space="preserve">
１．(1)奨学金に申請した年度を入力します。給付奨学金の経済基準の適格認定に関しては、適格認定を行う年度になります。
</t>
    </r>
    <r>
      <rPr>
        <strike/>
        <sz val="10"/>
        <rFont val="ＭＳ Ｐゴシック"/>
        <family val="3"/>
        <charset val="128"/>
        <scheme val="minor"/>
      </rPr>
      <t>２．(2)申込の区分を選択します。高校等で申し込む場合は「予約採用」、進学先で申し込む場合は「在学採用」です。「在学採用」や給付奨学金の「経済基準の適格認定」を選択した場合、(6)で学校が国・公立か私立かも選択します（大学院を除く）。
３．(3)「第一種奨学金」「第二種奨学金」「第一種と第二種の両方」（以上は貸与奨学金です。）「給付奨学金」の中から、申請した種類を選びます。このとき、（2）が「大学等予約採用」以外で貸与奨学金を選択していて(6)が「私立」の場合、(7)で通学形態も選択します（大学院を除く）。さらに、（2）の選択に関わらず「第一種と第二種の両方」を選んだ場合、(8)で第一種と第二種のどちらを優先するかを選びます。給付奨学金を選択していて（2）が「大学等予約採用」以外で(6)が私立の場合、(11)で在籍している学科等の分野が理工農系であるかどうかも選びます。
※本ツールでは、緊急・応急採用、家計急変採用、海外留学を対象とした奨学金には対応していません。</t>
    </r>
    <r>
      <rPr>
        <sz val="10"/>
        <rFont val="ＭＳ Ｐゴシック"/>
        <family val="3"/>
        <charset val="128"/>
        <scheme val="minor"/>
      </rPr>
      <t xml:space="preserve">
４．(4)生計維持者の人数を選択します（大学院を除く）。父母がいる場合は父母が生計維持者になりますので、２名です。１名を選んだ場合、(9)でその人の続柄を選択します。
５．(5)生計維持者が扶養している「子ども」（扶養親族のうち生計維持者の尊属でなく、扶養している者より年長でない者）の数を入力します（大学院を除く）。既に申請していた場合には、申請に用いた人数を入力します。また、給付奨学金・独立生計以外の場合には、(10)で申込者本人が扶養されていたかも選びます。
６．この例では生計維持者１が１人の場合を想定して(12)が非表示になっていますが、生計維持者が２人の場合(12)が表示されるので、以下(17)まで同様に入力してください（大学院の場合、配偶者欄を表示）。給付奨学金の場合、本人の情報に関しても入力が必要です。
７．(13)に課税証明書の「合計所得金額」を入力します。
８．(14)(15)で、課税証明書に記載されている方が、課税証明書における障がい者か、寡婦・ひとり親であれば、該当する旨を選択します。
９．(16)で課税証明書に記載されている方の生年月日を入力します。また、申込者本人の生年月日も(17)に入力します。
10．課税証明書に記載されている方がその税の年度の初日の属する年の１月１日に生活扶助を受給している場合、その旨を選択します。
11．課税証明書の「繰越控除」を入力します。証明書上に存在しない場合、「合計所得金額」から「総所得金額等」を引いた額を入力します。
12．課税証明書で「配偶者控除」に該当している場合、その旨を選択します。（「配偶者特別控除」は関係しません。）
13．(21)～(23)課税証明書の「扶養控除」の内訳（人数）及び(24)「16歳未満扶養親族」の人数入力します。「その他」がある場合「一般」に数えます。
14．(25)課税証明書の「課税標準額」を入力します。存在しない場合、「課税総所得金額」など「課税○○金額」を全て合計した額を入力します。
15．(26)課税証明書の「市（区）町村民税の調整控除額」を入力します。「（都）道府県民税の調整控除額」や「税源移譲前の額」は入力しません。
16．(27)給付奨学金の場合、「市（区）町村民税の調整額」を入力します。「（都）道府県民税の調整額」や「税源移譲前の額」は入力しません。
17．(28)課税証明書の発行者（市町村民税を賦課した地方公共団体）が政令指定都市である場合には、その旨を選択します。
18．以上の手順を全ての生計維持者について入力すると、ここに計算過程及び計算結果が表示されます。貸与奨学金の場合は貸与額算定基準額及び希望する奨学金の家計基準の適格有無が、給付奨学金の場合は該当する支援区分が表示されます。
</t>
    </r>
    <r>
      <rPr>
        <sz val="10"/>
        <color rgb="FFFF0000"/>
        <rFont val="ＭＳ Ｐゴシック"/>
        <family val="3"/>
        <charset val="128"/>
        <scheme val="minor"/>
      </rPr>
      <t>19．大学院の申し込みの場合、(2)で大学院から始まる申込の区分を選択します。その際、(29)で修士課程か博士課程かを選択します。
また、大学院の場合、生計維持者ではなく申込者本人及びその配偶者（いる場合のみ）の所得等の情報を入力してください。</t>
    </r>
    <rPh sb="211" eb="214">
      <t>ダイガクイン</t>
    </rPh>
    <rPh sb="215" eb="216">
      <t>ノゾ</t>
    </rPh>
    <rPh sb="300" eb="307">
      <t>ダイガクトウヨヤクサイヨウ</t>
    </rPh>
    <rPh sb="308" eb="310">
      <t>イガイ</t>
    </rPh>
    <rPh sb="366" eb="368">
      <t>センタク</t>
    </rPh>
    <rPh sb="369" eb="370">
      <t>カカ</t>
    </rPh>
    <rPh sb="741" eb="743">
      <t>イガイ</t>
    </rPh>
    <rPh sb="864" eb="866">
      <t>バアイ</t>
    </rPh>
    <rPh sb="867" eb="870">
      <t>ハイグウシャ</t>
    </rPh>
    <rPh sb="870" eb="871">
      <t>ラン</t>
    </rPh>
    <rPh sb="872" eb="874">
      <t>ヒョウジ</t>
    </rPh>
    <rPh sb="1471" eb="1473">
      <t>キュウフ</t>
    </rPh>
    <rPh sb="1473" eb="1476">
      <t>ショウガクキン</t>
    </rPh>
    <rPh sb="1477" eb="1479">
      <t>バアイ</t>
    </rPh>
    <rPh sb="1597" eb="1599">
      <t>イジョウ</t>
    </rPh>
    <rPh sb="1624" eb="1626">
      <t>ケイサン</t>
    </rPh>
    <rPh sb="1626" eb="1628">
      <t>カテイ</t>
    </rPh>
    <rPh sb="1628" eb="1629">
      <t>オヨ</t>
    </rPh>
    <rPh sb="1630" eb="1632">
      <t>ケイサン</t>
    </rPh>
    <rPh sb="1642" eb="1644">
      <t>タイヨ</t>
    </rPh>
    <rPh sb="1644" eb="1647">
      <t>ショウガクキン</t>
    </rPh>
    <rPh sb="1648" eb="1650">
      <t>バアイ</t>
    </rPh>
    <rPh sb="1651" eb="1659">
      <t>タイヨガクサンテイキジュンガク</t>
    </rPh>
    <rPh sb="1659" eb="1660">
      <t>オヨ</t>
    </rPh>
    <rPh sb="1661" eb="1663">
      <t>キボウ</t>
    </rPh>
    <rPh sb="1665" eb="1668">
      <t>ショウガクキン</t>
    </rPh>
    <rPh sb="1669" eb="1671">
      <t>カケイ</t>
    </rPh>
    <rPh sb="1671" eb="1673">
      <t>キジュン</t>
    </rPh>
    <rPh sb="1674" eb="1676">
      <t>テキカク</t>
    </rPh>
    <rPh sb="1676" eb="1678">
      <t>ウム</t>
    </rPh>
    <rPh sb="1680" eb="1682">
      <t>キュウフ</t>
    </rPh>
    <rPh sb="1682" eb="1685">
      <t>ショウガクキン</t>
    </rPh>
    <rPh sb="1686" eb="1688">
      <t>バアイ</t>
    </rPh>
    <rPh sb="1689" eb="1691">
      <t>ガイトウ</t>
    </rPh>
    <rPh sb="1693" eb="1695">
      <t>シエン</t>
    </rPh>
    <rPh sb="1695" eb="1697">
      <t>クブン</t>
    </rPh>
    <rPh sb="1698" eb="1700">
      <t>ヒョウジ</t>
    </rPh>
    <rPh sb="1709" eb="1712">
      <t>ダイガクイン</t>
    </rPh>
    <rPh sb="1713" eb="1714">
      <t>モウ</t>
    </rPh>
    <rPh sb="1715" eb="1716">
      <t>コ</t>
    </rPh>
    <rPh sb="1718" eb="1720">
      <t>バアイ</t>
    </rPh>
    <rPh sb="1725" eb="1728">
      <t>ダイガクイン</t>
    </rPh>
    <rPh sb="1730" eb="1731">
      <t>ハジ</t>
    </rPh>
    <rPh sb="1733" eb="1735">
      <t>モウシコミ</t>
    </rPh>
    <rPh sb="1736" eb="1738">
      <t>クブン</t>
    </rPh>
    <rPh sb="1739" eb="1741">
      <t>センタク</t>
    </rPh>
    <rPh sb="1747" eb="1748">
      <t>サイ</t>
    </rPh>
    <rPh sb="1754" eb="1756">
      <t>シュウシ</t>
    </rPh>
    <rPh sb="1756" eb="1758">
      <t>カテイ</t>
    </rPh>
    <rPh sb="1759" eb="1761">
      <t>ハクシ</t>
    </rPh>
    <rPh sb="1761" eb="1763">
      <t>カテイ</t>
    </rPh>
    <rPh sb="1765" eb="1767">
      <t>センタク</t>
    </rPh>
    <rPh sb="1775" eb="1778">
      <t>ダイガクイン</t>
    </rPh>
    <rPh sb="1779" eb="1781">
      <t>バアイ</t>
    </rPh>
    <rPh sb="1782" eb="1784">
      <t>セイケイ</t>
    </rPh>
    <rPh sb="1784" eb="1786">
      <t>イジ</t>
    </rPh>
    <rPh sb="1786" eb="1787">
      <t>シャ</t>
    </rPh>
    <rPh sb="1791" eb="1793">
      <t>モウシコミ</t>
    </rPh>
    <rPh sb="1793" eb="1794">
      <t>シャ</t>
    </rPh>
    <rPh sb="1794" eb="1796">
      <t>ホンニン</t>
    </rPh>
    <rPh sb="1796" eb="1797">
      <t>オヨ</t>
    </rPh>
    <rPh sb="1800" eb="1803">
      <t>ハイグウシャ</t>
    </rPh>
    <rPh sb="1806" eb="1808">
      <t>バアイ</t>
    </rPh>
    <rPh sb="1812" eb="1814">
      <t>ショトク</t>
    </rPh>
    <rPh sb="1814" eb="1815">
      <t>トウ</t>
    </rPh>
    <rPh sb="1816" eb="1818">
      <t>ジョウホウ</t>
    </rPh>
    <rPh sb="1819" eb="182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</si>
</sst>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Red]0"/>
    <numFmt numFmtId="178" formatCode="0_ "/>
    <numFmt numFmtId="179" formatCode="yyyy&quot;.&quot;mm"/>
    <numFmt numFmtId="180" formatCode="[DBNum3]0"/>
  </numFmts>
  <fonts count="24"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name val="ＭＳ Ｐゴシック"/>
      <family val="2"/>
      <scheme val="minor"/>
    </font>
    <font>
      <sz val="11"/>
      <color theme="0"/>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sz val="6"/>
      <color theme="1"/>
      <name val="ＭＳ Ｐゴシック"/>
      <family val="3"/>
      <charset val="128"/>
      <scheme val="minor"/>
    </font>
    <font>
      <sz val="11"/>
      <color theme="0" tint="-4.9989318521683403E-2"/>
      <name val="ＭＳ Ｐゴシック"/>
      <family val="2"/>
      <scheme val="minor"/>
    </font>
    <font>
      <sz val="11"/>
      <color theme="0" tint="-4.9989318521683403E-2"/>
      <name val="ＭＳ Ｐゴシック"/>
      <family val="3"/>
      <charset val="128"/>
      <scheme val="minor"/>
    </font>
    <font>
      <sz val="10"/>
      <color theme="1"/>
      <name val="ＭＳ Ｐゴシック"/>
      <family val="2"/>
      <scheme val="minor"/>
    </font>
    <font>
      <sz val="11"/>
      <color rgb="FFFF0000"/>
      <name val="ＭＳ Ｐゴシック"/>
      <family val="2"/>
      <scheme val="minor"/>
    </font>
    <font>
      <u/>
      <sz val="11"/>
      <color theme="1"/>
      <name val="ＭＳ Ｐゴシック"/>
      <family val="2"/>
      <scheme val="minor"/>
    </font>
    <font>
      <u/>
      <sz val="11"/>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trike/>
      <sz val="10"/>
      <name val="ＭＳ Ｐゴシック"/>
      <family val="3"/>
      <charset val="128"/>
      <scheme val="minor"/>
    </font>
    <font>
      <b/>
      <sz val="10"/>
      <color rgb="FF0000FF"/>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bottom style="thin">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theme="1"/>
      </left>
      <right/>
      <top/>
      <bottom style="medium">
        <color theme="1"/>
      </bottom>
      <diagonal/>
    </border>
    <border>
      <left/>
      <right/>
      <top/>
      <bottom style="medium">
        <color theme="1"/>
      </bottom>
      <diagonal/>
    </border>
    <border>
      <left style="thin">
        <color theme="1"/>
      </left>
      <right style="medium">
        <color theme="1"/>
      </right>
      <top/>
      <bottom style="medium">
        <color theme="1"/>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s>
  <cellStyleXfs count="1">
    <xf numFmtId="0" fontId="0" fillId="0" borderId="0"/>
  </cellStyleXfs>
  <cellXfs count="171">
    <xf numFmtId="0" fontId="0" fillId="0" borderId="0" xfId="0"/>
    <xf numFmtId="14" fontId="0" fillId="0" borderId="0" xfId="0" applyNumberFormat="1"/>
    <xf numFmtId="0" fontId="0" fillId="2" borderId="3" xfId="0" applyFill="1" applyBorder="1" applyAlignment="1">
      <alignment horizontal="center" vertical="center"/>
    </xf>
    <xf numFmtId="176" fontId="2" fillId="2" borderId="1" xfId="0" applyNumberFormat="1" applyFont="1" applyFill="1" applyBorder="1" applyAlignment="1">
      <alignment vertical="center" wrapText="1"/>
    </xf>
    <xf numFmtId="176" fontId="2" fillId="2" borderId="4" xfId="0" applyNumberFormat="1" applyFont="1" applyFill="1" applyBorder="1" applyAlignment="1">
      <alignment vertical="center" wrapText="1"/>
    </xf>
    <xf numFmtId="176" fontId="2" fillId="2" borderId="5" xfId="0" applyNumberFormat="1" applyFont="1" applyFill="1" applyBorder="1" applyAlignment="1">
      <alignment vertical="center" wrapText="1"/>
    </xf>
    <xf numFmtId="176" fontId="2" fillId="2" borderId="6" xfId="0" applyNumberFormat="1" applyFont="1" applyFill="1" applyBorder="1" applyAlignment="1">
      <alignment vertical="center" wrapText="1"/>
    </xf>
    <xf numFmtId="0" fontId="0" fillId="2" borderId="7" xfId="0" applyFill="1" applyBorder="1" applyAlignment="1">
      <alignment horizontal="center" vertical="center"/>
    </xf>
    <xf numFmtId="176" fontId="2" fillId="2" borderId="13" xfId="0" applyNumberFormat="1" applyFont="1" applyFill="1" applyBorder="1" applyAlignment="1">
      <alignment vertical="center" wrapText="1"/>
    </xf>
    <xf numFmtId="176" fontId="2" fillId="2" borderId="11" xfId="0" applyNumberFormat="1" applyFont="1" applyFill="1" applyBorder="1" applyAlignment="1">
      <alignment vertical="center" wrapText="1"/>
    </xf>
    <xf numFmtId="0" fontId="0" fillId="2" borderId="14" xfId="0" applyFill="1" applyBorder="1" applyAlignment="1">
      <alignment vertical="center"/>
    </xf>
    <xf numFmtId="176" fontId="0" fillId="2" borderId="13" xfId="0" applyNumberFormat="1" applyFill="1" applyBorder="1" applyAlignment="1">
      <alignment horizontal="center" vertical="center" wrapText="1"/>
    </xf>
    <xf numFmtId="0" fontId="0" fillId="0" borderId="17" xfId="0" applyBorder="1"/>
    <xf numFmtId="176" fontId="0" fillId="2" borderId="26" xfId="0" applyNumberFormat="1" applyFill="1" applyBorder="1" applyAlignment="1">
      <alignment horizontal="center" vertical="center" wrapText="1"/>
    </xf>
    <xf numFmtId="0" fontId="0" fillId="2" borderId="25" xfId="0" applyFill="1" applyBorder="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3" fillId="2" borderId="22"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0" borderId="0" xfId="0" applyAlignment="1">
      <alignment vertical="center"/>
    </xf>
    <xf numFmtId="0" fontId="0" fillId="4" borderId="11" xfId="0" applyFill="1" applyBorder="1" applyAlignment="1">
      <alignment horizontal="center" vertical="center" wrapText="1"/>
    </xf>
    <xf numFmtId="0" fontId="0" fillId="4" borderId="4" xfId="0" applyFill="1" applyBorder="1" applyAlignment="1">
      <alignment horizontal="center" vertical="center" wrapText="1"/>
    </xf>
    <xf numFmtId="177" fontId="0" fillId="3" borderId="11" xfId="0" applyNumberFormat="1" applyFill="1" applyBorder="1" applyAlignment="1">
      <alignment horizontal="center" vertical="center" wrapText="1"/>
    </xf>
    <xf numFmtId="177" fontId="0" fillId="3" borderId="4" xfId="0" applyNumberFormat="1" applyFill="1" applyBorder="1" applyAlignment="1">
      <alignment horizontal="center" vertical="center" wrapText="1"/>
    </xf>
    <xf numFmtId="176" fontId="2" fillId="3" borderId="11" xfId="0" applyNumberFormat="1" applyFont="1" applyFill="1" applyBorder="1" applyAlignment="1">
      <alignment vertical="center" wrapText="1"/>
    </xf>
    <xf numFmtId="176" fontId="2" fillId="3" borderId="4" xfId="0" applyNumberFormat="1" applyFont="1" applyFill="1" applyBorder="1" applyAlignment="1">
      <alignment vertical="center" wrapText="1"/>
    </xf>
    <xf numFmtId="14" fontId="0" fillId="3" borderId="13" xfId="0" applyNumberFormat="1" applyFill="1" applyBorder="1" applyAlignment="1">
      <alignment horizontal="center" vertical="center" wrapText="1"/>
    </xf>
    <xf numFmtId="14" fontId="0" fillId="3" borderId="6" xfId="0" applyNumberFormat="1" applyFill="1" applyBorder="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left"/>
    </xf>
    <xf numFmtId="176" fontId="2" fillId="2" borderId="29" xfId="0" applyNumberFormat="1" applyFont="1" applyFill="1" applyBorder="1" applyAlignment="1">
      <alignment vertical="center" wrapText="1"/>
    </xf>
    <xf numFmtId="0" fontId="0" fillId="0" borderId="27" xfId="0" applyBorder="1" applyAlignment="1">
      <alignment horizontal="center" vertical="center"/>
    </xf>
    <xf numFmtId="0" fontId="6" fillId="0" borderId="0" xfId="0" applyFont="1" applyAlignment="1">
      <alignment horizontal="center" vertical="center"/>
    </xf>
    <xf numFmtId="0" fontId="0" fillId="2" borderId="14" xfId="0" applyFill="1" applyBorder="1" applyAlignment="1">
      <alignment vertical="center" shrinkToFit="1"/>
    </xf>
    <xf numFmtId="179" fontId="0" fillId="0" borderId="0" xfId="0" applyNumberFormat="1" applyAlignment="1">
      <alignment horizontal="right"/>
    </xf>
    <xf numFmtId="0" fontId="6" fillId="0" borderId="0" xfId="0" applyFont="1" applyAlignment="1">
      <alignment vertical="center"/>
    </xf>
    <xf numFmtId="0" fontId="0" fillId="0" borderId="0" xfId="0" applyAlignment="1">
      <alignment vertical="top" wrapText="1"/>
    </xf>
    <xf numFmtId="178" fontId="0" fillId="2" borderId="2" xfId="0" applyNumberFormat="1"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9"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0" borderId="0" xfId="0" applyFont="1"/>
    <xf numFmtId="0" fontId="0" fillId="4" borderId="41" xfId="0" applyFill="1" applyBorder="1" applyAlignment="1">
      <alignment horizontal="center" vertical="center" shrinkToFit="1"/>
    </xf>
    <xf numFmtId="176" fontId="2" fillId="2" borderId="51" xfId="0" applyNumberFormat="1" applyFont="1" applyFill="1" applyBorder="1" applyAlignment="1">
      <alignment vertical="center" wrapText="1"/>
    </xf>
    <xf numFmtId="176" fontId="2" fillId="5" borderId="4" xfId="0" applyNumberFormat="1" applyFont="1" applyFill="1" applyBorder="1" applyAlignment="1">
      <alignment vertical="center" wrapText="1"/>
    </xf>
    <xf numFmtId="0" fontId="0" fillId="5" borderId="4" xfId="0" applyFill="1" applyBorder="1" applyAlignment="1">
      <alignment horizontal="center" vertical="center" wrapText="1"/>
    </xf>
    <xf numFmtId="177" fontId="0" fillId="5" borderId="4" xfId="0" applyNumberFormat="1" applyFill="1" applyBorder="1" applyAlignment="1">
      <alignment horizontal="center" vertical="center" wrapText="1"/>
    </xf>
    <xf numFmtId="0" fontId="0" fillId="5" borderId="8" xfId="0" applyFill="1" applyBorder="1" applyAlignment="1">
      <alignment horizontal="center" vertical="center" wrapText="1"/>
    </xf>
    <xf numFmtId="176" fontId="2" fillId="5" borderId="6" xfId="0" applyNumberFormat="1" applyFont="1" applyFill="1" applyBorder="1" applyAlignment="1">
      <alignment vertical="center" wrapText="1"/>
    </xf>
    <xf numFmtId="176" fontId="0" fillId="5" borderId="26" xfId="0" applyNumberFormat="1" applyFill="1" applyBorder="1" applyAlignment="1">
      <alignment horizontal="center" vertical="center" wrapText="1"/>
    </xf>
    <xf numFmtId="176" fontId="2" fillId="5" borderId="31" xfId="0" applyNumberFormat="1" applyFont="1" applyFill="1" applyBorder="1" applyAlignment="1">
      <alignment vertical="center" wrapText="1"/>
    </xf>
    <xf numFmtId="0" fontId="7" fillId="0" borderId="0" xfId="0" applyFont="1"/>
    <xf numFmtId="0" fontId="4" fillId="5" borderId="9" xfId="0" applyFont="1" applyFill="1" applyBorder="1" applyAlignment="1">
      <alignment horizontal="center" vertical="center" wrapText="1"/>
    </xf>
    <xf numFmtId="176" fontId="2" fillId="5" borderId="1" xfId="0" applyNumberFormat="1" applyFont="1" applyFill="1" applyBorder="1" applyAlignment="1">
      <alignment vertical="center" wrapText="1"/>
    </xf>
    <xf numFmtId="0" fontId="0" fillId="5" borderId="1" xfId="0" applyFill="1" applyBorder="1" applyAlignment="1">
      <alignment horizontal="center" vertical="center" wrapText="1"/>
    </xf>
    <xf numFmtId="14" fontId="0" fillId="5" borderId="5" xfId="0" applyNumberFormat="1" applyFill="1" applyBorder="1" applyAlignment="1">
      <alignment horizontal="center" vertical="center" wrapText="1"/>
    </xf>
    <xf numFmtId="177" fontId="0" fillId="5" borderId="1" xfId="0" applyNumberFormat="1" applyFill="1" applyBorder="1" applyAlignment="1">
      <alignment horizontal="center" vertical="center" wrapText="1"/>
    </xf>
    <xf numFmtId="0" fontId="0" fillId="5" borderId="11" xfId="0" applyFill="1" applyBorder="1" applyAlignment="1">
      <alignment horizontal="center" vertical="center" wrapText="1"/>
    </xf>
    <xf numFmtId="0" fontId="9" fillId="5" borderId="44" xfId="0" applyFont="1" applyFill="1" applyBorder="1" applyAlignment="1">
      <alignment horizontal="center" vertical="center" wrapText="1"/>
    </xf>
    <xf numFmtId="176" fontId="2" fillId="5" borderId="5" xfId="0" applyNumberFormat="1" applyFont="1" applyFill="1" applyBorder="1" applyAlignment="1">
      <alignment vertical="center" wrapText="1"/>
    </xf>
    <xf numFmtId="176" fontId="0" fillId="5" borderId="13" xfId="0" applyNumberFormat="1" applyFill="1" applyBorder="1" applyAlignment="1">
      <alignment horizontal="center" vertical="center" wrapText="1"/>
    </xf>
    <xf numFmtId="176" fontId="2" fillId="5" borderId="30" xfId="0" applyNumberFormat="1" applyFont="1" applyFill="1" applyBorder="1" applyAlignment="1">
      <alignment vertical="center" wrapText="1"/>
    </xf>
    <xf numFmtId="0" fontId="0" fillId="4" borderId="4" xfId="0" applyFill="1" applyBorder="1" applyAlignment="1">
      <alignment horizontal="center" vertical="center" shrinkToFit="1"/>
    </xf>
    <xf numFmtId="0" fontId="12" fillId="0" borderId="0" xfId="0" applyFont="1"/>
    <xf numFmtId="0" fontId="0" fillId="0" borderId="58" xfId="0" applyBorder="1"/>
    <xf numFmtId="0" fontId="0" fillId="0" borderId="58" xfId="0" applyBorder="1" applyAlignment="1">
      <alignment horizontal="right"/>
    </xf>
    <xf numFmtId="0" fontId="0" fillId="0" borderId="0" xfId="0" applyAlignment="1">
      <alignment horizontal="left" vertical="top" wrapText="1"/>
    </xf>
    <xf numFmtId="0" fontId="0" fillId="2" borderId="61" xfId="0" applyFill="1" applyBorder="1" applyAlignment="1">
      <alignment vertical="center" wrapText="1"/>
    </xf>
    <xf numFmtId="0" fontId="10" fillId="2" borderId="50" xfId="0" applyFont="1" applyFill="1" applyBorder="1" applyAlignment="1">
      <alignment wrapText="1"/>
    </xf>
    <xf numFmtId="0" fontId="0" fillId="2" borderId="47" xfId="0" applyFill="1" applyBorder="1" applyAlignment="1">
      <alignment wrapText="1"/>
    </xf>
    <xf numFmtId="0" fontId="14" fillId="2" borderId="62" xfId="0" applyFont="1" applyFill="1" applyBorder="1" applyAlignment="1">
      <alignment horizontal="center" vertical="center" wrapText="1"/>
    </xf>
    <xf numFmtId="0" fontId="15" fillId="2" borderId="62" xfId="0" applyFont="1" applyFill="1" applyBorder="1" applyAlignment="1">
      <alignment horizontal="center" vertical="center"/>
    </xf>
    <xf numFmtId="0" fontId="15" fillId="2" borderId="59" xfId="0" applyFont="1" applyFill="1" applyBorder="1" applyAlignment="1">
      <alignment horizontal="center" vertical="center"/>
    </xf>
    <xf numFmtId="0" fontId="15" fillId="2" borderId="62" xfId="0" applyFont="1" applyFill="1" applyBorder="1" applyAlignment="1">
      <alignment horizontal="center" vertical="center" wrapText="1"/>
    </xf>
    <xf numFmtId="0" fontId="15" fillId="2" borderId="63" xfId="0" applyFont="1" applyFill="1" applyBorder="1" applyAlignment="1">
      <alignment horizontal="center" vertical="center" wrapText="1"/>
    </xf>
    <xf numFmtId="180" fontId="0" fillId="4" borderId="4" xfId="0" applyNumberFormat="1" applyFill="1" applyBorder="1" applyAlignment="1">
      <alignment horizontal="center" vertical="center"/>
    </xf>
    <xf numFmtId="0" fontId="14" fillId="2" borderId="60" xfId="0" applyFont="1" applyFill="1" applyBorder="1" applyAlignment="1">
      <alignment horizontal="center" vertical="center" wrapText="1"/>
    </xf>
    <xf numFmtId="0" fontId="9" fillId="4" borderId="62" xfId="0" applyFont="1" applyFill="1" applyBorder="1" applyAlignment="1">
      <alignment horizontal="center" vertical="center" wrapText="1"/>
    </xf>
    <xf numFmtId="0" fontId="7" fillId="4" borderId="62" xfId="0" applyFont="1" applyFill="1" applyBorder="1" applyAlignment="1">
      <alignment horizontal="center" vertical="center"/>
    </xf>
    <xf numFmtId="0" fontId="7" fillId="4" borderId="59" xfId="0" applyFont="1" applyFill="1" applyBorder="1" applyAlignment="1">
      <alignment horizontal="center" vertical="center"/>
    </xf>
    <xf numFmtId="0" fontId="7" fillId="4" borderId="62"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9" fillId="2" borderId="3" xfId="0" applyFont="1" applyFill="1" applyBorder="1" applyAlignment="1">
      <alignment wrapText="1"/>
    </xf>
    <xf numFmtId="0" fontId="9" fillId="2" borderId="64" xfId="0" applyFont="1" applyFill="1" applyBorder="1" applyAlignment="1">
      <alignment wrapText="1"/>
    </xf>
    <xf numFmtId="0" fontId="0" fillId="2" borderId="65" xfId="0" applyFill="1" applyBorder="1" applyAlignment="1">
      <alignment vertical="center" wrapText="1"/>
    </xf>
    <xf numFmtId="176" fontId="2" fillId="5" borderId="11" xfId="0" applyNumberFormat="1" applyFont="1" applyFill="1" applyBorder="1" applyAlignment="1">
      <alignment vertical="center" wrapText="1"/>
    </xf>
    <xf numFmtId="0" fontId="9"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center" vertical="center" wrapText="1"/>
    </xf>
    <xf numFmtId="176" fontId="2" fillId="0" borderId="0" xfId="0" applyNumberFormat="1" applyFon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77" fontId="0" fillId="0" borderId="0" xfId="0" applyNumberFormat="1" applyAlignment="1">
      <alignment horizontal="center" vertical="center" wrapText="1"/>
    </xf>
    <xf numFmtId="176" fontId="0" fillId="0" borderId="0" xfId="0" applyNumberFormat="1" applyAlignment="1">
      <alignment horizontal="center" vertical="center" wrapText="1"/>
    </xf>
    <xf numFmtId="176" fontId="2" fillId="0" borderId="0" xfId="0" applyNumberFormat="1" applyFont="1" applyAlignment="1">
      <alignment horizontal="center" vertical="center" wrapText="1"/>
    </xf>
    <xf numFmtId="14" fontId="7" fillId="0" borderId="0" xfId="0" applyNumberFormat="1" applyFont="1"/>
    <xf numFmtId="0" fontId="0" fillId="0" borderId="0" xfId="0" applyAlignment="1">
      <alignment horizontal="left" vertical="top"/>
    </xf>
    <xf numFmtId="0" fontId="10" fillId="2" borderId="58" xfId="0" applyFont="1" applyFill="1" applyBorder="1" applyAlignment="1">
      <alignment wrapText="1"/>
    </xf>
    <xf numFmtId="180" fontId="0" fillId="4" borderId="68" xfId="0" applyNumberFormat="1" applyFill="1" applyBorder="1" applyAlignment="1">
      <alignment horizontal="center" vertical="center" shrinkToFit="1"/>
    </xf>
    <xf numFmtId="180" fontId="0" fillId="3" borderId="72" xfId="0" applyNumberFormat="1" applyFill="1" applyBorder="1" applyAlignment="1">
      <alignment horizontal="center" vertical="center"/>
    </xf>
    <xf numFmtId="0" fontId="0" fillId="0" borderId="0" xfId="0" applyAlignment="1">
      <alignment horizontal="left" vertical="center"/>
    </xf>
    <xf numFmtId="14" fontId="12" fillId="0" borderId="0" xfId="0" applyNumberFormat="1" applyFont="1"/>
    <xf numFmtId="0" fontId="17" fillId="0" borderId="0" xfId="0" applyFont="1"/>
    <xf numFmtId="180" fontId="0" fillId="3" borderId="4" xfId="0" applyNumberFormat="1" applyFill="1" applyBorder="1" applyAlignment="1">
      <alignment horizontal="center" vertical="center"/>
    </xf>
    <xf numFmtId="0" fontId="16" fillId="0" borderId="0" xfId="0" applyFont="1" applyAlignment="1">
      <alignment horizontal="left" vertical="center"/>
    </xf>
    <xf numFmtId="0" fontId="5" fillId="0" borderId="0" xfId="0" applyFont="1" applyAlignment="1">
      <alignment horizontal="left" vertical="center"/>
    </xf>
    <xf numFmtId="0" fontId="18" fillId="0" borderId="0" xfId="0" applyFont="1"/>
    <xf numFmtId="0" fontId="19" fillId="0" borderId="0" xfId="0" applyFont="1"/>
    <xf numFmtId="180" fontId="0" fillId="4" borderId="68" xfId="0" applyNumberFormat="1" applyFill="1" applyBorder="1" applyAlignment="1" applyProtection="1">
      <alignment horizontal="center" vertical="center" shrinkToFit="1"/>
      <protection locked="0"/>
    </xf>
    <xf numFmtId="176" fontId="2" fillId="3" borderId="11" xfId="0" applyNumberFormat="1" applyFont="1" applyFill="1" applyBorder="1" applyAlignment="1" applyProtection="1">
      <alignment vertical="center" wrapText="1"/>
      <protection locked="0"/>
    </xf>
    <xf numFmtId="0" fontId="0" fillId="4" borderId="11"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14" fontId="0" fillId="3" borderId="13" xfId="0" applyNumberFormat="1" applyFill="1" applyBorder="1" applyAlignment="1" applyProtection="1">
      <alignment horizontal="center" vertical="center" wrapText="1"/>
      <protection locked="0"/>
    </xf>
    <xf numFmtId="14" fontId="0" fillId="3" borderId="5" xfId="0" applyNumberFormat="1" applyFill="1" applyBorder="1" applyAlignment="1" applyProtection="1">
      <alignment horizontal="center" vertical="center" wrapText="1"/>
      <protection locked="0"/>
    </xf>
    <xf numFmtId="176" fontId="2" fillId="3" borderId="1" xfId="0" applyNumberFormat="1" applyFont="1" applyFill="1" applyBorder="1" applyAlignment="1" applyProtection="1">
      <alignment vertical="center" wrapText="1"/>
      <protection locked="0"/>
    </xf>
    <xf numFmtId="177" fontId="0" fillId="3" borderId="11" xfId="0" applyNumberFormat="1" applyFill="1" applyBorder="1" applyAlignment="1" applyProtection="1">
      <alignment horizontal="center" vertical="center" wrapText="1"/>
      <protection locked="0"/>
    </xf>
    <xf numFmtId="177" fontId="0" fillId="3" borderId="1" xfId="0" applyNumberFormat="1" applyFill="1" applyBorder="1" applyAlignment="1" applyProtection="1">
      <alignment horizontal="center" vertical="center" wrapText="1"/>
      <protection locked="0"/>
    </xf>
    <xf numFmtId="0" fontId="3" fillId="2" borderId="18"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1" xfId="0" applyFont="1"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0" fillId="2" borderId="14" xfId="0"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2" borderId="13" xfId="0" applyFill="1" applyBorder="1" applyAlignment="1">
      <alignment horizontal="center" vertical="center" wrapText="1"/>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176" fontId="2" fillId="2" borderId="54" xfId="0" applyNumberFormat="1" applyFont="1" applyFill="1" applyBorder="1" applyAlignment="1">
      <alignment horizontal="center" vertical="center" wrapText="1"/>
    </xf>
    <xf numFmtId="176" fontId="2" fillId="2" borderId="55" xfId="0" applyNumberFormat="1" applyFont="1" applyFill="1" applyBorder="1" applyAlignment="1">
      <alignment horizontal="center" vertical="center" wrapText="1"/>
    </xf>
    <xf numFmtId="176" fontId="2" fillId="2" borderId="56" xfId="0" applyNumberFormat="1" applyFont="1" applyFill="1" applyBorder="1" applyAlignment="1">
      <alignment horizontal="center" vertical="center" wrapText="1"/>
    </xf>
    <xf numFmtId="0" fontId="20" fillId="0" borderId="0" xfId="0" applyFont="1" applyAlignment="1">
      <alignment horizontal="left" vertical="top" wrapText="1"/>
    </xf>
    <xf numFmtId="0" fontId="0" fillId="2" borderId="52" xfId="0" applyFill="1" applyBorder="1" applyAlignment="1">
      <alignment horizontal="center" vertical="center" wrapText="1"/>
    </xf>
    <xf numFmtId="0" fontId="0" fillId="0" borderId="0" xfId="0" applyAlignment="1">
      <alignment horizontal="left" vertical="top" wrapText="1"/>
    </xf>
    <xf numFmtId="0" fontId="0" fillId="2" borderId="12" xfId="0" applyFill="1" applyBorder="1" applyAlignment="1">
      <alignment horizontal="center" vertical="center" wrapText="1"/>
    </xf>
    <xf numFmtId="0" fontId="0" fillId="2" borderId="15" xfId="0" applyFill="1" applyBorder="1" applyAlignment="1">
      <alignment horizontal="center" vertical="center"/>
    </xf>
    <xf numFmtId="0" fontId="0" fillId="0" borderId="20" xfId="0"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20" xfId="0" applyFont="1" applyFill="1" applyBorder="1" applyAlignment="1">
      <alignment horizontal="center" vertical="center"/>
    </xf>
  </cellXfs>
  <cellStyles count="1">
    <cellStyle name="標準" xfId="0" builtinId="0"/>
  </cellStyles>
  <dxfs count="2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ont>
        <color theme="1"/>
      </font>
      <fill>
        <patternFill>
          <bgColor theme="1"/>
        </patternFill>
      </fill>
    </dxf>
    <dxf>
      <font>
        <color theme="1"/>
      </font>
      <fill>
        <patternFill>
          <bgColor rgb="FFCCFFFF"/>
        </patternFill>
      </fill>
    </dxf>
    <dxf>
      <font>
        <color theme="1"/>
      </font>
      <fill>
        <patternFill>
          <bgColor rgb="FFCCFFFF"/>
        </patternFill>
      </fill>
    </dxf>
    <dxf>
      <font>
        <color theme="1"/>
      </font>
      <fill>
        <patternFill>
          <bgColor rgb="FFCCFFFF"/>
        </patternFill>
      </fill>
      <border>
        <left style="thin">
          <color auto="1"/>
        </left>
        <vertical/>
        <horizontal/>
      </border>
    </dxf>
    <dxf>
      <font>
        <color theme="1"/>
      </font>
      <fill>
        <patternFill>
          <bgColor rgb="FFCCFFFF"/>
        </patternFill>
      </fill>
      <border>
        <left style="thin">
          <color auto="1"/>
        </left>
        <vertical/>
        <horizontal/>
      </border>
    </dxf>
    <dxf>
      <font>
        <color theme="1"/>
      </font>
      <fill>
        <patternFill>
          <bgColor rgb="FFCCFFFF"/>
        </patternFill>
      </fill>
    </dxf>
    <dxf>
      <font>
        <color theme="1"/>
      </font>
      <fill>
        <patternFill>
          <bgColor rgb="FFCCFFFF"/>
        </patternFill>
      </fill>
      <border>
        <left style="thin">
          <color auto="1"/>
        </left>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1"/>
        </patternFill>
      </fill>
    </dxf>
    <dxf>
      <font>
        <color theme="1"/>
      </font>
      <fill>
        <patternFill>
          <bgColor theme="0" tint="-4.9989318521683403E-2"/>
        </patternFill>
      </fill>
      <border>
        <right style="thin">
          <color auto="1"/>
        </right>
      </border>
    </dxf>
    <dxf>
      <font>
        <color theme="1"/>
      </font>
      <fill>
        <patternFill>
          <bgColor theme="0" tint="-4.9989318521683403E-2"/>
        </patternFill>
      </fill>
      <border>
        <right style="thin">
          <color auto="1"/>
        </right>
      </border>
    </dxf>
    <dxf>
      <font>
        <color theme="1"/>
      </font>
      <fill>
        <patternFill patternType="solid">
          <bgColor theme="0" tint="-4.9989318521683403E-2"/>
        </patternFill>
      </fill>
      <border>
        <right style="thin">
          <color auto="1"/>
        </right>
      </border>
    </dxf>
    <dxf>
      <fill>
        <patternFill>
          <bgColor theme="1"/>
        </patternFill>
      </fill>
    </dxf>
    <dxf>
      <font>
        <color theme="1"/>
      </font>
      <fill>
        <patternFill>
          <bgColor theme="1"/>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s>
  <tableStyles count="0" defaultTableStyle="TableStyleMedium2" defaultPivotStyle="PivotStyleMedium9"/>
  <colors>
    <mruColors>
      <color rgb="FF0000FF"/>
      <color rgb="FFCCFFFF"/>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168086</xdr:colOff>
      <xdr:row>8</xdr:row>
      <xdr:rowOff>1</xdr:rowOff>
    </xdr:from>
    <xdr:to>
      <xdr:col>15</xdr:col>
      <xdr:colOff>59949</xdr:colOff>
      <xdr:row>19</xdr:row>
      <xdr:rowOff>95251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9150161" y="1809751"/>
          <a:ext cx="4692463" cy="4152900"/>
          <a:chOff x="9368118" y="1288676"/>
          <a:chExt cx="4676775" cy="3130553"/>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368118" y="1288676"/>
            <a:ext cx="4676775" cy="31305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貸与額算定基準額判定ツール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xdr:txBody>
      </xdr:sp>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371293" y="2805130"/>
            <a:ext cx="4552026" cy="208178"/>
          </a:xfrm>
          <a:prstGeom prst="rect">
            <a:avLst/>
          </a:prstGeom>
        </xdr:spPr>
      </xdr:pic>
      <xdr:sp macro="" textlink="">
        <xdr:nvSpPr>
          <xdr:cNvPr id="4" name="円/楕円 3">
            <a:extLst>
              <a:ext uri="{FF2B5EF4-FFF2-40B4-BE49-F238E27FC236}">
                <a16:creationId xmlns:a16="http://schemas.microsoft.com/office/drawing/2014/main" id="{00000000-0008-0000-0000-000004000000}"/>
              </a:ext>
            </a:extLst>
          </xdr:cNvPr>
          <xdr:cNvSpPr/>
        </xdr:nvSpPr>
        <xdr:spPr>
          <a:xfrm>
            <a:off x="12809818" y="2734250"/>
            <a:ext cx="895350" cy="2667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68118" y="3060967"/>
            <a:ext cx="4603750" cy="13048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円/楕円 5">
            <a:extLst>
              <a:ext uri="{FF2B5EF4-FFF2-40B4-BE49-F238E27FC236}">
                <a16:creationId xmlns:a16="http://schemas.microsoft.com/office/drawing/2014/main" id="{00000000-0008-0000-0000-000006000000}"/>
              </a:ext>
            </a:extLst>
          </xdr:cNvPr>
          <xdr:cNvSpPr/>
        </xdr:nvSpPr>
        <xdr:spPr>
          <a:xfrm>
            <a:off x="13235267" y="3023175"/>
            <a:ext cx="765175" cy="1873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24184</xdr:colOff>
      <xdr:row>9</xdr:row>
      <xdr:rowOff>276225</xdr:rowOff>
    </xdr:from>
    <xdr:to>
      <xdr:col>20</xdr:col>
      <xdr:colOff>1906</xdr:colOff>
      <xdr:row>23</xdr:row>
      <xdr:rowOff>262820</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387259" y="2428875"/>
          <a:ext cx="7452942" cy="4710995"/>
        </a:xfrm>
        <a:prstGeom prst="rect">
          <a:avLst/>
        </a:prstGeom>
      </xdr:spPr>
    </xdr:pic>
    <xdr:clientData/>
  </xdr:twoCellAnchor>
  <xdr:oneCellAnchor>
    <xdr:from>
      <xdr:col>3</xdr:col>
      <xdr:colOff>1695450</xdr:colOff>
      <xdr:row>7</xdr:row>
      <xdr:rowOff>38100</xdr:rowOff>
    </xdr:from>
    <xdr:ext cx="266700" cy="276225"/>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133725" y="1504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(1)</a:t>
          </a:r>
          <a:endParaRPr kumimoji="1" lang="ja-JP" altLang="en-US" sz="1200" b="1">
            <a:solidFill>
              <a:srgbClr val="FF0000"/>
            </a:solidFill>
          </a:endParaRPr>
        </a:p>
      </xdr:txBody>
    </xdr:sp>
    <xdr:clientData/>
  </xdr:oneCellAnchor>
  <xdr:twoCellAnchor>
    <xdr:from>
      <xdr:col>6</xdr:col>
      <xdr:colOff>1476374</xdr:colOff>
      <xdr:row>7</xdr:row>
      <xdr:rowOff>19050</xdr:rowOff>
    </xdr:from>
    <xdr:to>
      <xdr:col>7</xdr:col>
      <xdr:colOff>962025</xdr:colOff>
      <xdr:row>7</xdr:row>
      <xdr:rowOff>304800</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8181974" y="1485900"/>
          <a:ext cx="1190626" cy="285750"/>
        </a:xfrm>
        <a:prstGeom prst="borderCallout1">
          <a:avLst>
            <a:gd name="adj1" fmla="val 48380"/>
            <a:gd name="adj2" fmla="val 1888"/>
            <a:gd name="adj3" fmla="val 53240"/>
            <a:gd name="adj4" fmla="val -111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予約採用以外の場合に表示</a:t>
          </a:r>
          <a:r>
            <a:rPr kumimoji="1" lang="ja-JP" altLang="en-US" sz="800">
              <a:solidFill>
                <a:srgbClr val="FF0000"/>
              </a:solidFill>
            </a:rPr>
            <a:t>（大学院除く）</a:t>
          </a:r>
        </a:p>
      </xdr:txBody>
    </xdr:sp>
    <xdr:clientData/>
  </xdr:twoCellAnchor>
  <xdr:twoCellAnchor>
    <xdr:from>
      <xdr:col>6</xdr:col>
      <xdr:colOff>1476374</xdr:colOff>
      <xdr:row>8</xdr:row>
      <xdr:rowOff>28575</xdr:rowOff>
    </xdr:from>
    <xdr:to>
      <xdr:col>7</xdr:col>
      <xdr:colOff>952500</xdr:colOff>
      <xdr:row>8</xdr:row>
      <xdr:rowOff>314325</xdr:rowOff>
    </xdr:to>
    <xdr:sp macro="" textlink="">
      <xdr:nvSpPr>
        <xdr:cNvPr id="72" name="線吹き出し 1 (枠付き) 71">
          <a:extLst>
            <a:ext uri="{FF2B5EF4-FFF2-40B4-BE49-F238E27FC236}">
              <a16:creationId xmlns:a16="http://schemas.microsoft.com/office/drawing/2014/main" id="{00000000-0008-0000-0100-000048000000}"/>
            </a:ext>
          </a:extLst>
        </xdr:cNvPr>
        <xdr:cNvSpPr/>
      </xdr:nvSpPr>
      <xdr:spPr>
        <a:xfrm>
          <a:off x="8181974" y="1838325"/>
          <a:ext cx="1181101" cy="285750"/>
        </a:xfrm>
        <a:prstGeom prst="borderCallout1">
          <a:avLst>
            <a:gd name="adj1" fmla="val 48380"/>
            <a:gd name="adj2" fmla="val 1062"/>
            <a:gd name="adj3" fmla="val 5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a:t>
          </a:r>
          <a:r>
            <a:rPr kumimoji="1" lang="ja-JP" altLang="en-US" sz="800">
              <a:solidFill>
                <a:srgbClr val="FF0000"/>
              </a:solidFill>
            </a:rPr>
            <a:t>でも大学院でもない</a:t>
          </a:r>
          <a:r>
            <a:rPr kumimoji="1" lang="ja-JP" altLang="en-US" sz="800">
              <a:solidFill>
                <a:schemeClr val="dk1"/>
              </a:solidFill>
            </a:rPr>
            <a:t>貸与</a:t>
          </a:r>
          <a:r>
            <a:rPr kumimoji="1" lang="ja-JP" altLang="en-US" sz="800"/>
            <a:t>・私立の場合に表示</a:t>
          </a:r>
        </a:p>
      </xdr:txBody>
    </xdr:sp>
    <xdr:clientData/>
  </xdr:twoCellAnchor>
  <xdr:twoCellAnchor>
    <xdr:from>
      <xdr:col>6</xdr:col>
      <xdr:colOff>1485900</xdr:colOff>
      <xdr:row>9</xdr:row>
      <xdr:rowOff>28575</xdr:rowOff>
    </xdr:from>
    <xdr:to>
      <xdr:col>7</xdr:col>
      <xdr:colOff>962025</xdr:colOff>
      <xdr:row>9</xdr:row>
      <xdr:rowOff>314325</xdr:rowOff>
    </xdr:to>
    <xdr:sp macro="" textlink="">
      <xdr:nvSpPr>
        <xdr:cNvPr id="73" name="線吹き出し 1 (枠付き) 72">
          <a:extLst>
            <a:ext uri="{FF2B5EF4-FFF2-40B4-BE49-F238E27FC236}">
              <a16:creationId xmlns:a16="http://schemas.microsoft.com/office/drawing/2014/main" id="{00000000-0008-0000-0100-000049000000}"/>
            </a:ext>
          </a:extLst>
        </xdr:cNvPr>
        <xdr:cNvSpPr/>
      </xdr:nvSpPr>
      <xdr:spPr>
        <a:xfrm>
          <a:off x="8191500" y="2181225"/>
          <a:ext cx="1181100" cy="285750"/>
        </a:xfrm>
        <a:prstGeom prst="borderCallout1">
          <a:avLst>
            <a:gd name="adj1" fmla="val 48380"/>
            <a:gd name="adj2" fmla="val 4288"/>
            <a:gd name="adj3" fmla="val 66573"/>
            <a:gd name="adj4" fmla="val -10224"/>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「第一種と第二種の両方」を希望時に表示</a:t>
          </a:r>
        </a:p>
      </xdr:txBody>
    </xdr:sp>
    <xdr:clientData/>
  </xdr:twoCellAnchor>
  <xdr:twoCellAnchor>
    <xdr:from>
      <xdr:col>6</xdr:col>
      <xdr:colOff>1485900</xdr:colOff>
      <xdr:row>10</xdr:row>
      <xdr:rowOff>38100</xdr:rowOff>
    </xdr:from>
    <xdr:to>
      <xdr:col>7</xdr:col>
      <xdr:colOff>962025</xdr:colOff>
      <xdr:row>10</xdr:row>
      <xdr:rowOff>323850</xdr:rowOff>
    </xdr:to>
    <xdr:sp macro="" textlink="">
      <xdr:nvSpPr>
        <xdr:cNvPr id="74" name="線吹き出し 1 (枠付き) 73">
          <a:extLst>
            <a:ext uri="{FF2B5EF4-FFF2-40B4-BE49-F238E27FC236}">
              <a16:creationId xmlns:a16="http://schemas.microsoft.com/office/drawing/2014/main" id="{00000000-0008-0000-0100-00004A000000}"/>
            </a:ext>
          </a:extLst>
        </xdr:cNvPr>
        <xdr:cNvSpPr/>
      </xdr:nvSpPr>
      <xdr:spPr>
        <a:xfrm>
          <a:off x="8191500" y="2533650"/>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生計維持者が１人の場合に表示</a:t>
          </a:r>
          <a:r>
            <a:rPr kumimoji="1" lang="ja-JP" altLang="en-US" sz="800">
              <a:solidFill>
                <a:srgbClr val="FF0000"/>
              </a:solidFill>
            </a:rPr>
            <a:t>（大学院除く）</a:t>
          </a:r>
        </a:p>
      </xdr:txBody>
    </xdr:sp>
    <xdr:clientData/>
  </xdr:twoCellAnchor>
  <xdr:twoCellAnchor>
    <xdr:from>
      <xdr:col>6</xdr:col>
      <xdr:colOff>1485900</xdr:colOff>
      <xdr:row>11</xdr:row>
      <xdr:rowOff>28575</xdr:rowOff>
    </xdr:from>
    <xdr:to>
      <xdr:col>7</xdr:col>
      <xdr:colOff>962025</xdr:colOff>
      <xdr:row>11</xdr:row>
      <xdr:rowOff>314325</xdr:rowOff>
    </xdr:to>
    <xdr:sp macro="" textlink="">
      <xdr:nvSpPr>
        <xdr:cNvPr id="75" name="線吹き出し 1 (枠付き) 74">
          <a:extLst>
            <a:ext uri="{FF2B5EF4-FFF2-40B4-BE49-F238E27FC236}">
              <a16:creationId xmlns:a16="http://schemas.microsoft.com/office/drawing/2014/main" id="{00000000-0008-0000-0100-00004B000000}"/>
            </a:ext>
          </a:extLst>
        </xdr:cNvPr>
        <xdr:cNvSpPr/>
      </xdr:nvSpPr>
      <xdr:spPr>
        <a:xfrm>
          <a:off x="8191500" y="28670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給付奨学金で独立生計以外の場合に表示</a:t>
          </a:r>
        </a:p>
      </xdr:txBody>
    </xdr:sp>
    <xdr:clientData/>
  </xdr:twoCellAnchor>
  <xdr:twoCellAnchor>
    <xdr:from>
      <xdr:col>6</xdr:col>
      <xdr:colOff>1485900</xdr:colOff>
      <xdr:row>12</xdr:row>
      <xdr:rowOff>28575</xdr:rowOff>
    </xdr:from>
    <xdr:to>
      <xdr:col>7</xdr:col>
      <xdr:colOff>962025</xdr:colOff>
      <xdr:row>12</xdr:row>
      <xdr:rowOff>314325</xdr:rowOff>
    </xdr:to>
    <xdr:sp macro="" textlink="">
      <xdr:nvSpPr>
        <xdr:cNvPr id="76" name="線吹き出し 1 (枠付き) 75">
          <a:extLst>
            <a:ext uri="{FF2B5EF4-FFF2-40B4-BE49-F238E27FC236}">
              <a16:creationId xmlns:a16="http://schemas.microsoft.com/office/drawing/2014/main" id="{00000000-0008-0000-0100-00004C000000}"/>
            </a:ext>
          </a:extLst>
        </xdr:cNvPr>
        <xdr:cNvSpPr/>
      </xdr:nvSpPr>
      <xdr:spPr>
        <a:xfrm>
          <a:off x="8191500" y="32099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予約採用以外の給付奨学金・私立の場合に表示</a:t>
          </a:r>
        </a:p>
      </xdr:txBody>
    </xdr:sp>
    <xdr:clientData/>
  </xdr:twoCellAnchor>
  <xdr:oneCellAnchor>
    <xdr:from>
      <xdr:col>3</xdr:col>
      <xdr:colOff>1695450</xdr:colOff>
      <xdr:row>8</xdr:row>
      <xdr:rowOff>38100</xdr:rowOff>
    </xdr:from>
    <xdr:ext cx="266700" cy="276225"/>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3133725" y="18478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(2)</a:t>
          </a:r>
          <a:endParaRPr kumimoji="1" lang="ja-JP" altLang="en-US" sz="1200" b="1">
            <a:solidFill>
              <a:srgbClr val="FF0000"/>
            </a:solidFill>
          </a:endParaRPr>
        </a:p>
      </xdr:txBody>
    </xdr:sp>
    <xdr:clientData/>
  </xdr:oneCellAnchor>
  <xdr:oneCellAnchor>
    <xdr:from>
      <xdr:col>3</xdr:col>
      <xdr:colOff>1704975</xdr:colOff>
      <xdr:row>9</xdr:row>
      <xdr:rowOff>38100</xdr:rowOff>
    </xdr:from>
    <xdr:ext cx="266700" cy="276225"/>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31432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(3)</a:t>
          </a:r>
          <a:endParaRPr kumimoji="1" lang="ja-JP" altLang="en-US" sz="1200" b="1">
            <a:solidFill>
              <a:srgbClr val="FF0000"/>
            </a:solidFill>
          </a:endParaRPr>
        </a:p>
      </xdr:txBody>
    </xdr:sp>
    <xdr:clientData/>
  </xdr:oneCellAnchor>
  <xdr:oneCellAnchor>
    <xdr:from>
      <xdr:col>3</xdr:col>
      <xdr:colOff>1695450</xdr:colOff>
      <xdr:row>10</xdr:row>
      <xdr:rowOff>38100</xdr:rowOff>
    </xdr:from>
    <xdr:ext cx="266700" cy="276225"/>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313372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(4)</a:t>
          </a:r>
          <a:endParaRPr kumimoji="1" lang="ja-JP" altLang="en-US" sz="1200" b="1">
            <a:solidFill>
              <a:srgbClr val="FF0000"/>
            </a:solidFill>
          </a:endParaRPr>
        </a:p>
      </xdr:txBody>
    </xdr:sp>
    <xdr:clientData/>
  </xdr:oneCellAnchor>
  <xdr:oneCellAnchor>
    <xdr:from>
      <xdr:col>3</xdr:col>
      <xdr:colOff>1695450</xdr:colOff>
      <xdr:row>11</xdr:row>
      <xdr:rowOff>28575</xdr:rowOff>
    </xdr:from>
    <xdr:ext cx="266700" cy="276225"/>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13372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(5)</a:t>
          </a:r>
          <a:endParaRPr kumimoji="1" lang="ja-JP" altLang="en-US" sz="1200" b="1">
            <a:solidFill>
              <a:srgbClr val="FF0000"/>
            </a:solidFill>
          </a:endParaRPr>
        </a:p>
      </xdr:txBody>
    </xdr:sp>
    <xdr:clientData/>
  </xdr:oneCellAnchor>
  <xdr:oneCellAnchor>
    <xdr:from>
      <xdr:col>5</xdr:col>
      <xdr:colOff>1647825</xdr:colOff>
      <xdr:row>7</xdr:row>
      <xdr:rowOff>28575</xdr:rowOff>
    </xdr:from>
    <xdr:ext cx="266700" cy="276225"/>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648450" y="149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(6)</a:t>
          </a:r>
          <a:endParaRPr kumimoji="1" lang="ja-JP" altLang="en-US" sz="1200" b="1">
            <a:solidFill>
              <a:srgbClr val="FF0000"/>
            </a:solidFill>
          </a:endParaRPr>
        </a:p>
      </xdr:txBody>
    </xdr:sp>
    <xdr:clientData/>
  </xdr:oneCellAnchor>
  <xdr:oneCellAnchor>
    <xdr:from>
      <xdr:col>5</xdr:col>
      <xdr:colOff>1657350</xdr:colOff>
      <xdr:row>8</xdr:row>
      <xdr:rowOff>28575</xdr:rowOff>
    </xdr:from>
    <xdr:ext cx="266700" cy="276225"/>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6657975" y="1838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(7)</a:t>
          </a:r>
          <a:endParaRPr kumimoji="1" lang="ja-JP" altLang="en-US" sz="1200" b="1">
            <a:solidFill>
              <a:srgbClr val="FF0000"/>
            </a:solidFill>
          </a:endParaRPr>
        </a:p>
      </xdr:txBody>
    </xdr:sp>
    <xdr:clientData/>
  </xdr:oneCellAnchor>
  <xdr:oneCellAnchor>
    <xdr:from>
      <xdr:col>5</xdr:col>
      <xdr:colOff>1647825</xdr:colOff>
      <xdr:row>9</xdr:row>
      <xdr:rowOff>38100</xdr:rowOff>
    </xdr:from>
    <xdr:ext cx="266700" cy="276225"/>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66484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(8)</a:t>
          </a:r>
          <a:endParaRPr kumimoji="1" lang="ja-JP" altLang="en-US" sz="1200" b="1">
            <a:solidFill>
              <a:srgbClr val="FF0000"/>
            </a:solidFill>
          </a:endParaRPr>
        </a:p>
      </xdr:txBody>
    </xdr:sp>
    <xdr:clientData/>
  </xdr:oneCellAnchor>
  <xdr:oneCellAnchor>
    <xdr:from>
      <xdr:col>5</xdr:col>
      <xdr:colOff>1657350</xdr:colOff>
      <xdr:row>10</xdr:row>
      <xdr:rowOff>38100</xdr:rowOff>
    </xdr:from>
    <xdr:ext cx="266700" cy="276225"/>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665797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(9)</a:t>
          </a:r>
          <a:endParaRPr kumimoji="1" lang="ja-JP" altLang="en-US" sz="1200" b="1">
            <a:solidFill>
              <a:srgbClr val="FF0000"/>
            </a:solidFill>
          </a:endParaRPr>
        </a:p>
      </xdr:txBody>
    </xdr:sp>
    <xdr:clientData/>
  </xdr:oneCellAnchor>
  <xdr:oneCellAnchor>
    <xdr:from>
      <xdr:col>5</xdr:col>
      <xdr:colOff>1657350</xdr:colOff>
      <xdr:row>11</xdr:row>
      <xdr:rowOff>28575</xdr:rowOff>
    </xdr:from>
    <xdr:ext cx="266700" cy="276225"/>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65797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(10)</a:t>
          </a:r>
          <a:endParaRPr kumimoji="1" lang="ja-JP" altLang="en-US" sz="900" b="1">
            <a:solidFill>
              <a:srgbClr val="FF0000"/>
            </a:solidFill>
          </a:endParaRPr>
        </a:p>
      </xdr:txBody>
    </xdr:sp>
    <xdr:clientData/>
  </xdr:oneCellAnchor>
  <xdr:oneCellAnchor>
    <xdr:from>
      <xdr:col>5</xdr:col>
      <xdr:colOff>1666875</xdr:colOff>
      <xdr:row>12</xdr:row>
      <xdr:rowOff>28575</xdr:rowOff>
    </xdr:from>
    <xdr:ext cx="266700" cy="276225"/>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6667500" y="32099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(11)</a:t>
          </a:r>
          <a:endParaRPr kumimoji="1" lang="ja-JP" altLang="en-US" sz="900" b="1">
            <a:solidFill>
              <a:srgbClr val="FF0000"/>
            </a:solidFill>
          </a:endParaRPr>
        </a:p>
      </xdr:txBody>
    </xdr:sp>
    <xdr:clientData/>
  </xdr:oneCellAnchor>
  <xdr:oneCellAnchor>
    <xdr:from>
      <xdr:col>3</xdr:col>
      <xdr:colOff>1809750</xdr:colOff>
      <xdr:row>17</xdr:row>
      <xdr:rowOff>28575</xdr:rowOff>
    </xdr:from>
    <xdr:ext cx="266700" cy="276225"/>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3248025" y="48482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5</xdr:col>
      <xdr:colOff>790575</xdr:colOff>
      <xdr:row>15</xdr:row>
      <xdr:rowOff>161925</xdr:rowOff>
    </xdr:from>
    <xdr:ext cx="266700" cy="276225"/>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5791200" y="43338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(12)</a:t>
          </a:r>
          <a:endParaRPr kumimoji="1" lang="ja-JP" altLang="en-US" sz="900" b="1">
            <a:solidFill>
              <a:srgbClr val="FF0000"/>
            </a:solidFill>
          </a:endParaRPr>
        </a:p>
      </xdr:txBody>
    </xdr:sp>
    <xdr:clientData/>
  </xdr:oneCellAnchor>
  <xdr:oneCellAnchor>
    <xdr:from>
      <xdr:col>3</xdr:col>
      <xdr:colOff>1809750</xdr:colOff>
      <xdr:row>18</xdr:row>
      <xdr:rowOff>47625</xdr:rowOff>
    </xdr:from>
    <xdr:ext cx="266700" cy="276225"/>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3248025" y="5210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endParaRPr kumimoji="1" lang="ja-JP" altLang="en-US" sz="900" b="1">
            <a:solidFill>
              <a:srgbClr val="FF0000"/>
            </a:solidFill>
          </a:endParaRPr>
        </a:p>
      </xdr:txBody>
    </xdr:sp>
    <xdr:clientData/>
  </xdr:oneCellAnchor>
  <xdr:oneCellAnchor>
    <xdr:from>
      <xdr:col>3</xdr:col>
      <xdr:colOff>1809750</xdr:colOff>
      <xdr:row>19</xdr:row>
      <xdr:rowOff>38100</xdr:rowOff>
    </xdr:from>
    <xdr:ext cx="266700" cy="27622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3248025" y="55435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3</xdr:col>
      <xdr:colOff>1809750</xdr:colOff>
      <xdr:row>20</xdr:row>
      <xdr:rowOff>47625</xdr:rowOff>
    </xdr:from>
    <xdr:ext cx="266700" cy="276225"/>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3248025" y="5895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6</xdr:col>
      <xdr:colOff>9525</xdr:colOff>
      <xdr:row>20</xdr:row>
      <xdr:rowOff>38100</xdr:rowOff>
    </xdr:from>
    <xdr:ext cx="266700" cy="27622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715125" y="58864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(17)</a:t>
          </a:r>
          <a:endParaRPr kumimoji="1" lang="ja-JP" altLang="en-US" sz="900" b="1">
            <a:solidFill>
              <a:srgbClr val="FF0000"/>
            </a:solidFill>
          </a:endParaRPr>
        </a:p>
      </xdr:txBody>
    </xdr:sp>
    <xdr:clientData/>
  </xdr:oneCellAnchor>
  <xdr:oneCellAnchor>
    <xdr:from>
      <xdr:col>3</xdr:col>
      <xdr:colOff>1809750</xdr:colOff>
      <xdr:row>21</xdr:row>
      <xdr:rowOff>38100</xdr:rowOff>
    </xdr:from>
    <xdr:ext cx="266700" cy="27622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3248025" y="6229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(18)</a:t>
          </a:r>
          <a:endParaRPr kumimoji="1" lang="ja-JP" altLang="en-US" sz="900" b="1">
            <a:solidFill>
              <a:srgbClr val="FF0000"/>
            </a:solidFill>
          </a:endParaRPr>
        </a:p>
      </xdr:txBody>
    </xdr:sp>
    <xdr:clientData/>
  </xdr:oneCellAnchor>
  <xdr:oneCellAnchor>
    <xdr:from>
      <xdr:col>3</xdr:col>
      <xdr:colOff>1809750</xdr:colOff>
      <xdr:row>22</xdr:row>
      <xdr:rowOff>28575</xdr:rowOff>
    </xdr:from>
    <xdr:ext cx="266700" cy="27622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3248025" y="65627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3</xdr:col>
      <xdr:colOff>1819275</xdr:colOff>
      <xdr:row>23</xdr:row>
      <xdr:rowOff>28575</xdr:rowOff>
    </xdr:from>
    <xdr:ext cx="266700" cy="27622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3257550" y="69056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3</xdr:col>
      <xdr:colOff>1828800</xdr:colOff>
      <xdr:row>24</xdr:row>
      <xdr:rowOff>38100</xdr:rowOff>
    </xdr:from>
    <xdr:ext cx="266700" cy="27622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3267075" y="72580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endParaRPr kumimoji="1" lang="ja-JP" altLang="en-US" sz="900" b="1">
            <a:solidFill>
              <a:srgbClr val="FF0000"/>
            </a:solidFill>
          </a:endParaRPr>
        </a:p>
      </xdr:txBody>
    </xdr:sp>
    <xdr:clientData/>
  </xdr:oneCellAnchor>
  <xdr:oneCellAnchor>
    <xdr:from>
      <xdr:col>3</xdr:col>
      <xdr:colOff>1828800</xdr:colOff>
      <xdr:row>25</xdr:row>
      <xdr:rowOff>38100</xdr:rowOff>
    </xdr:from>
    <xdr:ext cx="266700" cy="27622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3267075" y="7600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(22)</a:t>
          </a:r>
          <a:endParaRPr kumimoji="1" lang="ja-JP" altLang="en-US" sz="900" b="1">
            <a:solidFill>
              <a:srgbClr val="FF0000"/>
            </a:solidFill>
          </a:endParaRPr>
        </a:p>
      </xdr:txBody>
    </xdr:sp>
    <xdr:clientData/>
  </xdr:oneCellAnchor>
  <xdr:oneCellAnchor>
    <xdr:from>
      <xdr:col>3</xdr:col>
      <xdr:colOff>1828800</xdr:colOff>
      <xdr:row>26</xdr:row>
      <xdr:rowOff>28575</xdr:rowOff>
    </xdr:from>
    <xdr:ext cx="266700" cy="27622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3267075" y="7934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3</xdr:col>
      <xdr:colOff>1828800</xdr:colOff>
      <xdr:row>27</xdr:row>
      <xdr:rowOff>38100</xdr:rowOff>
    </xdr:from>
    <xdr:ext cx="266700" cy="27622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3267075" y="8286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3</xdr:col>
      <xdr:colOff>1847850</xdr:colOff>
      <xdr:row>28</xdr:row>
      <xdr:rowOff>47625</xdr:rowOff>
    </xdr:from>
    <xdr:ext cx="266700" cy="27622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3286125" y="8639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3</xdr:col>
      <xdr:colOff>1847850</xdr:colOff>
      <xdr:row>29</xdr:row>
      <xdr:rowOff>28575</xdr:rowOff>
    </xdr:from>
    <xdr:ext cx="266700" cy="27622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3286125" y="8963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3</xdr:col>
      <xdr:colOff>1838325</xdr:colOff>
      <xdr:row>30</xdr:row>
      <xdr:rowOff>47625</xdr:rowOff>
    </xdr:from>
    <xdr:ext cx="266700" cy="27622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3276600" y="9324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3</xdr:col>
      <xdr:colOff>1838325</xdr:colOff>
      <xdr:row>31</xdr:row>
      <xdr:rowOff>28575</xdr:rowOff>
    </xdr:from>
    <xdr:ext cx="266700" cy="27622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3276600" y="96488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twoCellAnchor>
    <xdr:from>
      <xdr:col>5</xdr:col>
      <xdr:colOff>1162050</xdr:colOff>
      <xdr:row>15</xdr:row>
      <xdr:rowOff>66675</xdr:rowOff>
    </xdr:from>
    <xdr:to>
      <xdr:col>6</xdr:col>
      <xdr:colOff>638175</xdr:colOff>
      <xdr:row>16</xdr:row>
      <xdr:rowOff>47625</xdr:rowOff>
    </xdr:to>
    <xdr:sp macro="" textlink="">
      <xdr:nvSpPr>
        <xdr:cNvPr id="118" name="線吹き出し 1 (枠付き) 117">
          <a:extLst>
            <a:ext uri="{FF2B5EF4-FFF2-40B4-BE49-F238E27FC236}">
              <a16:creationId xmlns:a16="http://schemas.microsoft.com/office/drawing/2014/main" id="{00000000-0008-0000-0100-000076000000}"/>
            </a:ext>
          </a:extLst>
        </xdr:cNvPr>
        <xdr:cNvSpPr/>
      </xdr:nvSpPr>
      <xdr:spPr>
        <a:xfrm>
          <a:off x="6162675" y="42386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生計維持者が２人の場合に表示</a:t>
          </a:r>
          <a:r>
            <a:rPr kumimoji="1" lang="ja-JP" altLang="en-US" sz="600">
              <a:solidFill>
                <a:srgbClr val="FF0000"/>
              </a:solidFill>
            </a:rPr>
            <a:t>（大学院は配偶者欄）</a:t>
          </a:r>
          <a:endParaRPr kumimoji="1" lang="ja-JP" altLang="en-US" sz="800">
            <a:solidFill>
              <a:srgbClr val="FF0000"/>
            </a:solidFill>
          </a:endParaRPr>
        </a:p>
      </xdr:txBody>
    </xdr:sp>
    <xdr:clientData/>
  </xdr:twoCellAnchor>
  <xdr:twoCellAnchor>
    <xdr:from>
      <xdr:col>6</xdr:col>
      <xdr:colOff>1457325</xdr:colOff>
      <xdr:row>16</xdr:row>
      <xdr:rowOff>95250</xdr:rowOff>
    </xdr:from>
    <xdr:to>
      <xdr:col>7</xdr:col>
      <xdr:colOff>933450</xdr:colOff>
      <xdr:row>17</xdr:row>
      <xdr:rowOff>38100</xdr:rowOff>
    </xdr:to>
    <xdr:sp macro="" textlink="">
      <xdr:nvSpPr>
        <xdr:cNvPr id="119" name="線吹き出し 1 (枠付き) 118">
          <a:extLst>
            <a:ext uri="{FF2B5EF4-FFF2-40B4-BE49-F238E27FC236}">
              <a16:creationId xmlns:a16="http://schemas.microsoft.com/office/drawing/2014/main" id="{00000000-0008-0000-0100-000077000000}"/>
            </a:ext>
          </a:extLst>
        </xdr:cNvPr>
        <xdr:cNvSpPr/>
      </xdr:nvSpPr>
      <xdr:spPr>
        <a:xfrm>
          <a:off x="8162925" y="457200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給付奨学金の場合又は独立生計の場合に表示</a:t>
          </a:r>
        </a:p>
      </xdr:txBody>
    </xdr:sp>
    <xdr:clientData/>
  </xdr:twoCellAnchor>
  <xdr:twoCellAnchor>
    <xdr:from>
      <xdr:col>5</xdr:col>
      <xdr:colOff>0</xdr:colOff>
      <xdr:row>30</xdr:row>
      <xdr:rowOff>0</xdr:rowOff>
    </xdr:from>
    <xdr:to>
      <xdr:col>5</xdr:col>
      <xdr:colOff>1181100</xdr:colOff>
      <xdr:row>30</xdr:row>
      <xdr:rowOff>285750</xdr:rowOff>
    </xdr:to>
    <xdr:sp macro="" textlink="">
      <xdr:nvSpPr>
        <xdr:cNvPr id="120" name="線吹き出し 1 (枠付き) 119">
          <a:extLst>
            <a:ext uri="{FF2B5EF4-FFF2-40B4-BE49-F238E27FC236}">
              <a16:creationId xmlns:a16="http://schemas.microsoft.com/office/drawing/2014/main" id="{00000000-0008-0000-0100-000078000000}"/>
            </a:ext>
          </a:extLst>
        </xdr:cNvPr>
        <xdr:cNvSpPr/>
      </xdr:nvSpPr>
      <xdr:spPr>
        <a:xfrm>
          <a:off x="5000625" y="927735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給付奨学金の場合に表示</a:t>
          </a:r>
        </a:p>
      </xdr:txBody>
    </xdr:sp>
    <xdr:clientData/>
  </xdr:twoCellAnchor>
  <xdr:oneCellAnchor>
    <xdr:from>
      <xdr:col>10</xdr:col>
      <xdr:colOff>438150</xdr:colOff>
      <xdr:row>12</xdr:row>
      <xdr:rowOff>66675</xdr:rowOff>
    </xdr:from>
    <xdr:ext cx="266700" cy="27622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10487025" y="3248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13</xdr:col>
      <xdr:colOff>57150</xdr:colOff>
      <xdr:row>16</xdr:row>
      <xdr:rowOff>180975</xdr:rowOff>
    </xdr:from>
    <xdr:ext cx="552450" cy="27622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12163425" y="4657725"/>
          <a:ext cx="55245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r>
            <a:rPr kumimoji="1" lang="ja-JP" altLang="en-US" sz="900" b="1">
              <a:solidFill>
                <a:srgbClr val="FF0000"/>
              </a:solidFill>
            </a:rPr>
            <a:t>・</a:t>
          </a: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17</xdr:col>
      <xdr:colOff>614733</xdr:colOff>
      <xdr:row>11</xdr:row>
      <xdr:rowOff>142875</xdr:rowOff>
    </xdr:from>
    <xdr:ext cx="266700" cy="27622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5464208" y="2981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10</xdr:col>
      <xdr:colOff>381000</xdr:colOff>
      <xdr:row>19</xdr:row>
      <xdr:rowOff>161925</xdr:rowOff>
    </xdr:from>
    <xdr:ext cx="266700" cy="27622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0429875" y="56673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15</xdr:col>
      <xdr:colOff>647700</xdr:colOff>
      <xdr:row>12</xdr:row>
      <xdr:rowOff>219075</xdr:rowOff>
    </xdr:from>
    <xdr:ext cx="266700" cy="27622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4125575" y="3400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13</xdr:col>
      <xdr:colOff>123825</xdr:colOff>
      <xdr:row>13</xdr:row>
      <xdr:rowOff>276225</xdr:rowOff>
    </xdr:from>
    <xdr:ext cx="409575" cy="27622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12230100" y="3800475"/>
          <a:ext cx="409575"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r>
            <a:rPr kumimoji="1" lang="ja-JP" altLang="en-US" sz="900" b="1">
              <a:solidFill>
                <a:srgbClr val="FF0000"/>
              </a:solidFill>
            </a:rPr>
            <a:t>～</a:t>
          </a: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14</xdr:col>
      <xdr:colOff>342900</xdr:colOff>
      <xdr:row>19</xdr:row>
      <xdr:rowOff>200025</xdr:rowOff>
    </xdr:from>
    <xdr:ext cx="266700" cy="27622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3134975" y="57054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14</xdr:col>
      <xdr:colOff>352425</xdr:colOff>
      <xdr:row>20</xdr:row>
      <xdr:rowOff>123825</xdr:rowOff>
    </xdr:from>
    <xdr:ext cx="266700" cy="27622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3144500" y="5972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17</xdr:col>
      <xdr:colOff>428625</xdr:colOff>
      <xdr:row>13</xdr:row>
      <xdr:rowOff>85725</xdr:rowOff>
    </xdr:from>
    <xdr:ext cx="266700" cy="27622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15278100" y="3609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17</xdr:col>
      <xdr:colOff>409575</xdr:colOff>
      <xdr:row>17</xdr:row>
      <xdr:rowOff>95250</xdr:rowOff>
    </xdr:from>
    <xdr:ext cx="266700" cy="27622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15259050" y="49149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16</xdr:col>
      <xdr:colOff>523875</xdr:colOff>
      <xdr:row>22</xdr:row>
      <xdr:rowOff>66675</xdr:rowOff>
    </xdr:from>
    <xdr:ext cx="266700" cy="27622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14687550" y="66008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oneCellAnchor>
    <xdr:from>
      <xdr:col>3</xdr:col>
      <xdr:colOff>1695450</xdr:colOff>
      <xdr:row>12</xdr:row>
      <xdr:rowOff>28575</xdr:rowOff>
    </xdr:from>
    <xdr:ext cx="266700" cy="276225"/>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048000"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(29)</a:t>
          </a:r>
          <a:endParaRPr kumimoji="1" lang="ja-JP" altLang="en-US" sz="900" b="1">
            <a:solidFill>
              <a:srgbClr val="FF0000"/>
            </a:solidFill>
          </a:endParaRPr>
        </a:p>
      </xdr:txBody>
    </xdr:sp>
    <xdr:clientData/>
  </xdr:oneCellAnchor>
  <xdr:twoCellAnchor>
    <xdr:from>
      <xdr:col>4</xdr:col>
      <xdr:colOff>1466850</xdr:colOff>
      <xdr:row>16</xdr:row>
      <xdr:rowOff>114300</xdr:rowOff>
    </xdr:from>
    <xdr:to>
      <xdr:col>5</xdr:col>
      <xdr:colOff>809625</xdr:colOff>
      <xdr:row>17</xdr:row>
      <xdr:rowOff>57150</xdr:rowOff>
    </xdr:to>
    <xdr:sp macro="" textlink="">
      <xdr:nvSpPr>
        <xdr:cNvPr id="59" name="線吹き出し 1 (枠付き) 58">
          <a:extLst>
            <a:ext uri="{FF2B5EF4-FFF2-40B4-BE49-F238E27FC236}">
              <a16:creationId xmlns:a16="http://schemas.microsoft.com/office/drawing/2014/main" id="{00000000-0008-0000-0100-00003B000000}"/>
            </a:ext>
          </a:extLst>
        </xdr:cNvPr>
        <xdr:cNvSpPr/>
      </xdr:nvSpPr>
      <xdr:spPr>
        <a:xfrm>
          <a:off x="4676775" y="4591050"/>
          <a:ext cx="104775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rgbClr val="FF0000"/>
              </a:solidFill>
            </a:rPr>
            <a:t>大学院は申込者本人を表示</a:t>
          </a:r>
          <a:endParaRPr kumimoji="1" lang="ja-JP" altLang="en-US" sz="1000">
            <a:solidFill>
              <a:srgbClr val="FF0000"/>
            </a:solidFill>
          </a:endParaRPr>
        </a:p>
      </xdr:txBody>
    </xdr:sp>
    <xdr:clientData/>
  </xdr:twoCellAnchor>
  <xdr:twoCellAnchor>
    <xdr:from>
      <xdr:col>5</xdr:col>
      <xdr:colOff>0</xdr:colOff>
      <xdr:row>13</xdr:row>
      <xdr:rowOff>0</xdr:rowOff>
    </xdr:from>
    <xdr:to>
      <xdr:col>5</xdr:col>
      <xdr:colOff>1181100</xdr:colOff>
      <xdr:row>13</xdr:row>
      <xdr:rowOff>285750</xdr:rowOff>
    </xdr:to>
    <xdr:sp macro="" textlink="">
      <xdr:nvSpPr>
        <xdr:cNvPr id="60" name="線吹き出し 1 (枠付き) 59">
          <a:extLst>
            <a:ext uri="{FF2B5EF4-FFF2-40B4-BE49-F238E27FC236}">
              <a16:creationId xmlns:a16="http://schemas.microsoft.com/office/drawing/2014/main" id="{00000000-0008-0000-0100-00003C000000}"/>
            </a:ext>
          </a:extLst>
        </xdr:cNvPr>
        <xdr:cNvSpPr/>
      </xdr:nvSpPr>
      <xdr:spPr>
        <a:xfrm>
          <a:off x="4914900" y="3524250"/>
          <a:ext cx="1181100" cy="285750"/>
        </a:xfrm>
        <a:prstGeom prst="borderCallout1">
          <a:avLst>
            <a:gd name="adj1" fmla="val 48380"/>
            <a:gd name="adj2" fmla="val 4288"/>
            <a:gd name="adj3" fmla="val -6760"/>
            <a:gd name="adj4" fmla="val -247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rgbClr val="FF0000"/>
              </a:solidFill>
            </a:rPr>
            <a:t>大学院の申し込みを選択した場合に表示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1"/>
  <sheetViews>
    <sheetView tabSelected="1" view="pageBreakPreview" zoomScaleNormal="100" zoomScaleSheetLayoutView="100" workbookViewId="0">
      <selection activeCell="F18" sqref="F18"/>
    </sheetView>
  </sheetViews>
  <sheetFormatPr defaultRowHeight="13.5" x14ac:dyDescent="0.15"/>
  <cols>
    <col min="1" max="1" width="6.5" customWidth="1"/>
    <col min="2" max="2" width="7.125" customWidth="1"/>
    <col min="4" max="4" width="24.25" customWidth="1"/>
    <col min="5" max="7" width="22.375" customWidth="1"/>
    <col min="8" max="8" width="3.875" customWidth="1"/>
  </cols>
  <sheetData>
    <row r="1" spans="2:8" ht="23.25" customHeight="1" x14ac:dyDescent="0.15">
      <c r="B1" s="30" t="s">
        <v>194</v>
      </c>
      <c r="G1" s="37">
        <f>MAX(修正履歴!A:A)</f>
        <v>45489</v>
      </c>
    </row>
    <row r="2" spans="2:8" x14ac:dyDescent="0.15">
      <c r="B2" s="113" t="s">
        <v>195</v>
      </c>
      <c r="G2" s="15"/>
    </row>
    <row r="3" spans="2:8" x14ac:dyDescent="0.15">
      <c r="B3" s="114" t="s">
        <v>196</v>
      </c>
      <c r="G3" s="15"/>
    </row>
    <row r="4" spans="2:8" x14ac:dyDescent="0.15">
      <c r="B4" s="115" t="s">
        <v>197</v>
      </c>
      <c r="G4" s="15"/>
    </row>
    <row r="5" spans="2:8" x14ac:dyDescent="0.15">
      <c r="B5" t="s">
        <v>198</v>
      </c>
      <c r="G5" s="15"/>
    </row>
    <row r="6" spans="2:8" x14ac:dyDescent="0.15">
      <c r="B6" s="31" t="s">
        <v>87</v>
      </c>
      <c r="G6" s="15"/>
    </row>
    <row r="7" spans="2:8" ht="24.75" customHeight="1" thickBot="1" x14ac:dyDescent="0.2">
      <c r="B7" s="21" t="s">
        <v>156</v>
      </c>
      <c r="F7" s="70"/>
      <c r="G7" s="71"/>
    </row>
    <row r="8" spans="2:8" ht="27" customHeight="1" x14ac:dyDescent="0.15">
      <c r="B8" s="125" t="s">
        <v>142</v>
      </c>
      <c r="C8" s="126"/>
      <c r="D8" s="127"/>
      <c r="E8" s="40">
        <v>2025</v>
      </c>
      <c r="F8" s="73" t="str">
        <f>IF(計算シート!B3&gt;1,"在籍校の設置者を選択してください。","")</f>
        <v>在籍校の設置者を選択してください。</v>
      </c>
      <c r="G8" s="82" t="s">
        <v>162</v>
      </c>
    </row>
    <row r="9" spans="2:8" ht="27" customHeight="1" x14ac:dyDescent="0.15">
      <c r="B9" s="128" t="s">
        <v>89</v>
      </c>
      <c r="C9" s="129"/>
      <c r="D9" s="130"/>
      <c r="E9" s="68" t="s">
        <v>182</v>
      </c>
      <c r="F9" s="74" t="str">
        <f>IF(AND(計算シート!B4&lt;4,計算シート!B3&gt;1,VLOOKUP(G8,リストボックス!AB2:AC3,2,0)=2),"通学形態を選択してください。","")</f>
        <v>通学形態を選択してください。</v>
      </c>
      <c r="G9" s="76" t="s">
        <v>165</v>
      </c>
    </row>
    <row r="10" spans="2:8" ht="27" customHeight="1" x14ac:dyDescent="0.15">
      <c r="B10" s="128" t="str">
        <f>"申請した奨学金の種別"&amp;IF(計算シート!$B$46=1,"※","")</f>
        <v>申請した奨学金の種別※</v>
      </c>
      <c r="C10" s="129"/>
      <c r="D10" s="130"/>
      <c r="E10" s="48" t="s">
        <v>118</v>
      </c>
      <c r="F10" s="75" t="str">
        <f>IF(計算シート!B4=3,"両方を希望した場合の優先順位を選択してください。","")</f>
        <v/>
      </c>
      <c r="G10" s="77" t="s">
        <v>121</v>
      </c>
      <c r="H10" s="12"/>
    </row>
    <row r="11" spans="2:8" ht="27" customHeight="1" x14ac:dyDescent="0.15">
      <c r="B11" s="128" t="s">
        <v>159</v>
      </c>
      <c r="C11" s="129"/>
      <c r="D11" s="130"/>
      <c r="E11" s="81">
        <v>2</v>
      </c>
      <c r="F11" s="75" t="str">
        <f>IF(計算シート!B2=2,"生計維持者１の続柄を選択してください。","")</f>
        <v/>
      </c>
      <c r="G11" s="78" t="s">
        <v>131</v>
      </c>
    </row>
    <row r="12" spans="2:8" ht="27" customHeight="1" x14ac:dyDescent="0.15">
      <c r="B12" s="138" t="s">
        <v>151</v>
      </c>
      <c r="C12" s="139"/>
      <c r="D12" s="140"/>
      <c r="E12" s="107"/>
      <c r="F12" s="74" t="str">
        <f>IF(AND(計算シート!B4=4,計算シート!B2&lt;3),"申込者/奨学生は生計維持者に扶養されていますか。","")</f>
        <v/>
      </c>
      <c r="G12" s="79" t="s">
        <v>154</v>
      </c>
    </row>
    <row r="13" spans="2:8" ht="27" customHeight="1" thickBot="1" x14ac:dyDescent="0.2">
      <c r="B13" s="141" t="str">
        <f>IF(計算シート!$B$46=1,"大学院の課程","")</f>
        <v>大学院の課程</v>
      </c>
      <c r="C13" s="142"/>
      <c r="D13" s="142"/>
      <c r="E13" s="116" t="s">
        <v>190</v>
      </c>
      <c r="F13" s="105" t="str">
        <f>IF(AND(計算シート!B4=4,計算シート!B3&gt;1,VLOOKUP(G8,リストボックス!AB2:AC3,2,0)=2),"在籍している学科等は理工農系の分野ですか。","")</f>
        <v/>
      </c>
      <c r="G13" s="80" t="s">
        <v>144</v>
      </c>
    </row>
    <row r="14" spans="2:8" ht="27" customHeight="1" x14ac:dyDescent="0.15">
      <c r="B14" s="32" t="s">
        <v>90</v>
      </c>
      <c r="C14" s="16"/>
      <c r="D14" s="104"/>
      <c r="E14" s="16"/>
    </row>
    <row r="15" spans="2:8" ht="24" customHeight="1" x14ac:dyDescent="0.15">
      <c r="B15" s="21" t="s">
        <v>91</v>
      </c>
      <c r="C15" s="16"/>
      <c r="D15" s="16"/>
      <c r="E15" s="16"/>
    </row>
    <row r="16" spans="2:8" ht="24" customHeight="1" thickBot="1" x14ac:dyDescent="0.2">
      <c r="B16" s="21" t="str">
        <f>IF(E8&lt;&gt;0,"課税証明書(所得証明書)は、"&amp;YEAR(計算シート!B8)&amp;"年度["&amp;YEAR(計算シート!B8)-1&amp;"年分]"&amp;IF(OR(VLOOKUP(E9,リストボックス!C1:D9,2,0)=4,VLOOKUP(E9,リストボックス!C1:D9,2,0)=8),"(申込年の９月が給付又は貸与の始期なら、その前年度)","")&amp;"のものを用意してください。","")</f>
        <v>課税証明書(所得証明書)は、2024年度[2023年分]のものを用意してください。</v>
      </c>
      <c r="C16" s="16"/>
      <c r="D16" s="16"/>
      <c r="E16" s="16"/>
    </row>
    <row r="17" spans="2:7" ht="55.5" customHeight="1" thickBot="1" x14ac:dyDescent="0.2">
      <c r="B17" s="17" t="s">
        <v>34</v>
      </c>
      <c r="C17" s="136" t="s">
        <v>31</v>
      </c>
      <c r="D17" s="137"/>
      <c r="E17" s="18" t="str">
        <f>IF(計算シート!$B$46=0,"生計維持者１","申込者本人")</f>
        <v>申込者本人</v>
      </c>
      <c r="F17" s="19" t="str">
        <f>IF(計算シート!$B$46=0,"生計維持者２","配偶者
※いない場合入力不要")</f>
        <v>配偶者
※いない場合入力不要</v>
      </c>
      <c r="G17" s="20" t="s">
        <v>11</v>
      </c>
    </row>
    <row r="18" spans="2:7" ht="27" customHeight="1" thickTop="1" x14ac:dyDescent="0.15">
      <c r="B18" s="14" t="s">
        <v>36</v>
      </c>
      <c r="C18" s="133" t="s">
        <v>76</v>
      </c>
      <c r="D18" s="134"/>
      <c r="E18" s="117"/>
      <c r="F18" s="117"/>
      <c r="G18" s="27"/>
    </row>
    <row r="19" spans="2:7" ht="27" customHeight="1" x14ac:dyDescent="0.15">
      <c r="B19" s="2" t="s">
        <v>37</v>
      </c>
      <c r="C19" s="135" t="s">
        <v>4</v>
      </c>
      <c r="D19" s="10" t="s">
        <v>17</v>
      </c>
      <c r="E19" s="118" t="s">
        <v>65</v>
      </c>
      <c r="F19" s="119" t="s">
        <v>65</v>
      </c>
      <c r="G19" s="23" t="s">
        <v>65</v>
      </c>
    </row>
    <row r="20" spans="2:7" ht="27" customHeight="1" x14ac:dyDescent="0.15">
      <c r="B20" s="2" t="s">
        <v>38</v>
      </c>
      <c r="C20" s="135"/>
      <c r="D20" s="36" t="str">
        <f>"控除対象寡婦"&amp;IF(計算シート!B27=1,"・ひとり親","（寡夫）")</f>
        <v>控除対象寡婦・ひとり親</v>
      </c>
      <c r="E20" s="118" t="s">
        <v>65</v>
      </c>
      <c r="F20" s="119" t="s">
        <v>65</v>
      </c>
      <c r="G20" s="23" t="s">
        <v>65</v>
      </c>
    </row>
    <row r="21" spans="2:7" ht="27" customHeight="1" x14ac:dyDescent="0.15">
      <c r="B21" s="2" t="s">
        <v>39</v>
      </c>
      <c r="C21" s="131" t="s">
        <v>5</v>
      </c>
      <c r="D21" s="132"/>
      <c r="E21" s="120"/>
      <c r="F21" s="121"/>
      <c r="G21" s="29"/>
    </row>
    <row r="22" spans="2:7" ht="27" customHeight="1" x14ac:dyDescent="0.15">
      <c r="B22" s="2" t="s">
        <v>40</v>
      </c>
      <c r="C22" s="135" t="str">
        <f>IF(E8="","----年-月-日",TEXT(計算シート!B8,"yyyy年m月d日"))&amp;"時点の生活保護法の
生活扶助の受給"</f>
        <v>2024年1月1日時点の生活保護法の
生活扶助の受給</v>
      </c>
      <c r="D22" s="143"/>
      <c r="E22" s="118" t="s">
        <v>61</v>
      </c>
      <c r="F22" s="119" t="s">
        <v>61</v>
      </c>
      <c r="G22" s="23" t="s">
        <v>61</v>
      </c>
    </row>
    <row r="23" spans="2:7" ht="27" customHeight="1" x14ac:dyDescent="0.15">
      <c r="B23" s="2" t="s">
        <v>42</v>
      </c>
      <c r="C23" s="133" t="s">
        <v>77</v>
      </c>
      <c r="D23" s="134"/>
      <c r="E23" s="117"/>
      <c r="F23" s="122"/>
      <c r="G23" s="27"/>
    </row>
    <row r="24" spans="2:7" ht="27" customHeight="1" x14ac:dyDescent="0.15">
      <c r="B24" s="2" t="s">
        <v>44</v>
      </c>
      <c r="C24" s="133" t="s">
        <v>2</v>
      </c>
      <c r="D24" s="134"/>
      <c r="E24" s="118" t="s">
        <v>65</v>
      </c>
      <c r="F24" s="119" t="s">
        <v>65</v>
      </c>
      <c r="G24" s="23" t="s">
        <v>65</v>
      </c>
    </row>
    <row r="25" spans="2:7" ht="27" customHeight="1" x14ac:dyDescent="0.15">
      <c r="B25" s="2" t="s">
        <v>45</v>
      </c>
      <c r="C25" s="135" t="s">
        <v>3</v>
      </c>
      <c r="D25" s="10" t="s">
        <v>78</v>
      </c>
      <c r="E25" s="123"/>
      <c r="F25" s="124"/>
      <c r="G25" s="25"/>
    </row>
    <row r="26" spans="2:7" ht="27" customHeight="1" x14ac:dyDescent="0.15">
      <c r="B26" s="2" t="s">
        <v>46</v>
      </c>
      <c r="C26" s="135"/>
      <c r="D26" s="10" t="s">
        <v>79</v>
      </c>
      <c r="E26" s="123"/>
      <c r="F26" s="124"/>
      <c r="G26" s="25"/>
    </row>
    <row r="27" spans="2:7" ht="27" customHeight="1" x14ac:dyDescent="0.15">
      <c r="B27" s="2" t="s">
        <v>47</v>
      </c>
      <c r="C27" s="135"/>
      <c r="D27" s="10" t="s">
        <v>80</v>
      </c>
      <c r="E27" s="123"/>
      <c r="F27" s="124"/>
      <c r="G27" s="25"/>
    </row>
    <row r="28" spans="2:7" ht="27" customHeight="1" x14ac:dyDescent="0.15">
      <c r="B28" s="2" t="s">
        <v>48</v>
      </c>
      <c r="C28" s="133" t="s">
        <v>81</v>
      </c>
      <c r="D28" s="134"/>
      <c r="E28" s="123"/>
      <c r="F28" s="124"/>
      <c r="G28" s="25"/>
    </row>
    <row r="29" spans="2:7" ht="27" customHeight="1" x14ac:dyDescent="0.15">
      <c r="B29" s="2" t="s">
        <v>51</v>
      </c>
      <c r="C29" s="133" t="s">
        <v>82</v>
      </c>
      <c r="D29" s="134"/>
      <c r="E29" s="117"/>
      <c r="F29" s="117"/>
      <c r="G29" s="27"/>
    </row>
    <row r="30" spans="2:7" ht="27" customHeight="1" x14ac:dyDescent="0.15">
      <c r="B30" s="2" t="s">
        <v>52</v>
      </c>
      <c r="C30" s="133" t="s">
        <v>83</v>
      </c>
      <c r="D30" s="134"/>
      <c r="E30" s="117"/>
      <c r="F30" s="117"/>
      <c r="G30" s="27"/>
    </row>
    <row r="31" spans="2:7" ht="27" customHeight="1" x14ac:dyDescent="0.15">
      <c r="B31" s="2" t="s">
        <v>53</v>
      </c>
      <c r="C31" s="133" t="s">
        <v>135</v>
      </c>
      <c r="D31" s="134"/>
      <c r="E31" s="26"/>
      <c r="F31" s="26"/>
      <c r="G31" s="27"/>
    </row>
    <row r="32" spans="2:7" ht="27" customHeight="1" x14ac:dyDescent="0.15">
      <c r="B32" s="2" t="s">
        <v>54</v>
      </c>
      <c r="C32" s="133" t="s">
        <v>7</v>
      </c>
      <c r="D32" s="134"/>
      <c r="E32" s="118" t="s">
        <v>63</v>
      </c>
      <c r="F32" s="119" t="s">
        <v>63</v>
      </c>
      <c r="G32" s="23" t="s">
        <v>63</v>
      </c>
    </row>
    <row r="33" spans="2:8" ht="27" hidden="1" customHeight="1" thickBot="1" x14ac:dyDescent="0.2">
      <c r="B33" s="43">
        <v>4</v>
      </c>
      <c r="C33" s="150" t="s">
        <v>109</v>
      </c>
      <c r="D33" s="151"/>
      <c r="E33" s="44"/>
      <c r="F33" s="45"/>
      <c r="G33" s="46"/>
    </row>
    <row r="34" spans="2:8" ht="27" customHeight="1" x14ac:dyDescent="0.15">
      <c r="B34" s="42" t="s">
        <v>41</v>
      </c>
      <c r="C34" s="149" t="s">
        <v>35</v>
      </c>
      <c r="D34" s="132"/>
      <c r="E34" s="8">
        <f>計算シート!B20</f>
        <v>0</v>
      </c>
      <c r="F34" s="5">
        <f>計算シート!C20</f>
        <v>0</v>
      </c>
      <c r="G34" s="6">
        <f>計算シート!D20</f>
        <v>0</v>
      </c>
    </row>
    <row r="35" spans="2:8" ht="27" customHeight="1" x14ac:dyDescent="0.15">
      <c r="B35" s="2" t="s">
        <v>43</v>
      </c>
      <c r="C35" s="131" t="s">
        <v>84</v>
      </c>
      <c r="D35" s="132"/>
      <c r="E35" s="8">
        <f>計算シート!B13</f>
        <v>0</v>
      </c>
      <c r="F35" s="5">
        <f>計算シート!C13</f>
        <v>0</v>
      </c>
      <c r="G35" s="6">
        <f>計算シート!D13</f>
        <v>0</v>
      </c>
    </row>
    <row r="36" spans="2:8" ht="27" customHeight="1" x14ac:dyDescent="0.15">
      <c r="B36" s="2" t="s">
        <v>49</v>
      </c>
      <c r="C36" s="133" t="s">
        <v>85</v>
      </c>
      <c r="D36" s="134"/>
      <c r="E36" s="11">
        <f>計算シート!B15</f>
        <v>0</v>
      </c>
      <c r="F36" s="11">
        <f>計算シート!C15</f>
        <v>0</v>
      </c>
      <c r="G36" s="13">
        <f>計算シート!D15</f>
        <v>0</v>
      </c>
      <c r="H36" s="12"/>
    </row>
    <row r="37" spans="2:8" ht="27" customHeight="1" x14ac:dyDescent="0.15">
      <c r="B37" s="2" t="s">
        <v>50</v>
      </c>
      <c r="C37" s="135" t="s">
        <v>86</v>
      </c>
      <c r="D37" s="134"/>
      <c r="E37" s="9">
        <f>計算シート!B16</f>
        <v>450000</v>
      </c>
      <c r="F37" s="3">
        <f>計算シート!C16</f>
        <v>450000</v>
      </c>
      <c r="G37" s="4">
        <f>計算シート!D16</f>
        <v>450000</v>
      </c>
    </row>
    <row r="38" spans="2:8" ht="27" customHeight="1" x14ac:dyDescent="0.15">
      <c r="B38" s="2" t="s">
        <v>55</v>
      </c>
      <c r="C38" s="133" t="str">
        <f>IF(計算シート!B4&lt;4,"貸与額算定基準額（円）","支給額算定基準額（円）")</f>
        <v>貸与額算定基準額（円）</v>
      </c>
      <c r="D38" s="134"/>
      <c r="E38" s="49">
        <f>IF(計算シート!B4&lt;4,計算シート!B33,計算シート!B34)</f>
        <v>0</v>
      </c>
      <c r="F38" s="3">
        <f>IF(計算シート!B4&lt;4,計算シート!C33,計算シート!C34)</f>
        <v>0</v>
      </c>
      <c r="G38" s="4">
        <f>IF(計算シート!B4&lt;4,計算シート!D26,計算シート!D25)</f>
        <v>0</v>
      </c>
    </row>
    <row r="39" spans="2:8" ht="27" customHeight="1" thickBot="1" x14ac:dyDescent="0.2">
      <c r="B39" s="41">
        <v>4</v>
      </c>
      <c r="C39" s="152" t="str">
        <f>IF(計算シート!B4&lt;4,"世帯の貸与額算定基準額（円）","世帯の支給額算定基準額（円）")</f>
        <v>世帯の貸与額算定基準額（円）</v>
      </c>
      <c r="D39" s="153"/>
      <c r="E39" s="154">
        <f>IF(計算シート!B4&lt;4,計算シート!B39,SUM(計算シート!B34:C34,計算シート!D25))</f>
        <v>0</v>
      </c>
      <c r="F39" s="155"/>
      <c r="G39" s="156"/>
    </row>
    <row r="40" spans="2:8" ht="27" customHeight="1" thickTop="1" thickBot="1" x14ac:dyDescent="0.2">
      <c r="B40" s="34"/>
      <c r="C40" s="147" t="str">
        <f>IF(計算シート!B4&lt;4,"家計基準が適格となる種別","支援区分")</f>
        <v>家計基準が適格となる種別</v>
      </c>
      <c r="D40" s="148"/>
      <c r="E40" s="144" t="str">
        <f>IF(計算シート!B4&lt;4,計算シート!B43,計算シート!B44&amp;計算シート!B45)</f>
        <v>第二種奨学金の家計基準に適格</v>
      </c>
      <c r="F40" s="145"/>
      <c r="G40" s="146"/>
      <c r="H40" s="15"/>
    </row>
    <row r="41" spans="2:8" x14ac:dyDescent="0.15">
      <c r="D41" s="108"/>
      <c r="E41" s="112" t="str">
        <f>IFERROR(IF(計算シート!B46=1,IF(計算シート!B4=1,IF(計算シート!B47=1,"",""&amp;IF(計算シート!B48=1,"△： この貸与額算定基準額は第一種奨学金の基準に適格となる場合があります。","")),IF(計算シート!B4=2,IF(計算シート!B49=1,"",""),IF(計算シート!B4=3,IF(計算シート!B50=1,"",IF(計算シート!B5=1,IF(計算シート!B47=1,"",IF(計算シート!B49=1,""&amp;IF(計算シート!B48=1,"△： この貸与額算定基準額は第一種奨学金の基準に適格となる場合があります。",""),"")),IF(計算シート!B49=1,"",""))),""))),""),"")</f>
        <v/>
      </c>
    </row>
  </sheetData>
  <sheetProtection algorithmName="SHA-512" hashValue="Gq2uiHNUjwHyrrVjU+fopFevvGE0gc9vAB0QAaJk9bvgzvZvuhbF7RCpFBR9NHIp1zYmJccYbMEcVJquxVHSnA==" saltValue="6l5+iUV97scAG597rZXjfQ==" spinCount="100000" sheet="1" objects="1" scenarios="1" selectLockedCells="1"/>
  <protectedRanges>
    <protectedRange sqref="G8:G13" name="範囲3"/>
    <protectedRange sqref="E8:E12" name="範囲1"/>
    <protectedRange sqref="E18:G33" name="範囲2"/>
  </protectedRanges>
  <mergeCells count="29">
    <mergeCell ref="E40:G40"/>
    <mergeCell ref="C36:D36"/>
    <mergeCell ref="C29:D29"/>
    <mergeCell ref="C30:D30"/>
    <mergeCell ref="C38:D38"/>
    <mergeCell ref="C40:D40"/>
    <mergeCell ref="C35:D35"/>
    <mergeCell ref="C37:D37"/>
    <mergeCell ref="C32:D32"/>
    <mergeCell ref="C34:D34"/>
    <mergeCell ref="C33:D33"/>
    <mergeCell ref="C39:D39"/>
    <mergeCell ref="E39:G39"/>
    <mergeCell ref="C31:D31"/>
    <mergeCell ref="C24:D24"/>
    <mergeCell ref="C25:C27"/>
    <mergeCell ref="C28:D28"/>
    <mergeCell ref="C22:D22"/>
    <mergeCell ref="C23:D23"/>
    <mergeCell ref="B8:D8"/>
    <mergeCell ref="B9:D9"/>
    <mergeCell ref="B11:D11"/>
    <mergeCell ref="C21:D21"/>
    <mergeCell ref="C18:D18"/>
    <mergeCell ref="C19:C20"/>
    <mergeCell ref="C17:D17"/>
    <mergeCell ref="B10:D10"/>
    <mergeCell ref="B12:D12"/>
    <mergeCell ref="B13:D13"/>
  </mergeCells>
  <phoneticPr fontId="1"/>
  <conditionalFormatting sqref="F10">
    <cfRule type="expression" dxfId="26" priority="8">
      <formula>"計算シート!B4=3"</formula>
    </cfRule>
  </conditionalFormatting>
  <conditionalFormatting sqref="F11">
    <cfRule type="expression" dxfId="25" priority="7">
      <formula>"計算シート!B2=2"</formula>
    </cfRule>
  </conditionalFormatting>
  <dataValidations count="1">
    <dataValidation type="whole" allowBlank="1" showInputMessage="1" showErrorMessage="1" sqref="E12" xr:uid="{00000000-0002-0000-0000-000000000000}">
      <formula1>0</formula1>
      <formula2>99</formula2>
    </dataValidation>
  </dataValidations>
  <pageMargins left="0.23622047244094491" right="0.23622047244094491" top="0.23622047244094491" bottom="0.23622047244094491" header="0.11811023622047245" footer="0.11811023622047245"/>
  <pageSetup paperSize="9" scale="8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3AA87493-00BB-492A-8666-5CA2852DC766}">
            <xm:f>計算シート!$B$46=1</xm:f>
            <x14:dxf>
              <font>
                <color theme="0" tint="-4.9989318521683403E-2"/>
              </font>
              <fill>
                <patternFill>
                  <bgColor theme="0" tint="-4.9989318521683403E-2"/>
                </patternFill>
              </fill>
            </x14:dxf>
          </x14:cfRule>
          <xm:sqref>B11:E12</xm:sqref>
        </x14:conditionalFormatting>
        <x14:conditionalFormatting xmlns:xm="http://schemas.microsoft.com/office/excel/2006/main">
          <x14:cfRule type="expression" priority="1" id="{DE64FCF5-7D6D-4317-A04F-E83B1863F9FB}">
            <xm:f>計算シート!$B$46=0</xm:f>
            <x14:dxf>
              <font>
                <color theme="0" tint="-4.9989318521683403E-2"/>
              </font>
              <fill>
                <patternFill>
                  <bgColor theme="0" tint="-4.9989318521683403E-2"/>
                </patternFill>
              </fill>
            </x14:dxf>
          </x14:cfRule>
          <xm:sqref>B13:E13</xm:sqref>
        </x14:conditionalFormatting>
        <x14:conditionalFormatting xmlns:xm="http://schemas.microsoft.com/office/excel/2006/main">
          <x14:cfRule type="expression" priority="16" id="{9D5B0AB0-619C-4DA9-B4AB-C5362A48A103}">
            <xm:f>計算シート!$B$4&lt;4</xm:f>
            <x14:dxf>
              <font>
                <color theme="1"/>
              </font>
              <fill>
                <patternFill>
                  <bgColor theme="1"/>
                </patternFill>
              </fill>
            </x14:dxf>
          </x14:cfRule>
          <xm:sqref>B31:G31</xm:sqref>
        </x14:conditionalFormatting>
        <x14:conditionalFormatting xmlns:xm="http://schemas.microsoft.com/office/excel/2006/main">
          <x14:cfRule type="expression" priority="23" id="{16693939-5631-40E4-8DF6-9BBEC5793151}">
            <xm:f>計算シート!$B$2=3</xm:f>
            <x14:dxf>
              <fill>
                <patternFill>
                  <bgColor theme="1"/>
                </patternFill>
              </fill>
            </x14:dxf>
          </x14:cfRule>
          <xm:sqref>E17:F38</xm:sqref>
        </x14:conditionalFormatting>
        <x14:conditionalFormatting xmlns:xm="http://schemas.microsoft.com/office/excel/2006/main">
          <x14:cfRule type="expression" priority="12" id="{A993B7AE-8E7B-4470-80AE-39DBBE4C1914}">
            <xm:f>AND(計算シート!$B$4&lt;4,計算シート!$B$3&gt;1,VLOOKUP(G8,リストボックス!AB2:AC3,2,0)=2)</xm:f>
            <x14:dxf>
              <font>
                <color theme="1"/>
              </font>
              <fill>
                <patternFill patternType="solid">
                  <bgColor theme="0" tint="-4.9989318521683403E-2"/>
                </patternFill>
              </fill>
              <border>
                <right style="thin">
                  <color auto="1"/>
                </right>
              </border>
            </x14:dxf>
          </x14:cfRule>
          <xm:sqref>F9</xm:sqref>
        </x14:conditionalFormatting>
        <x14:conditionalFormatting xmlns:xm="http://schemas.microsoft.com/office/excel/2006/main">
          <x14:cfRule type="expression" priority="14" id="{570A19B2-974C-46FC-8E1A-9485584F993D}">
            <xm:f>AND(計算シート!$B$4=4,計算シート!B2&lt;3)</xm:f>
            <x14:dxf>
              <font>
                <color theme="1"/>
              </font>
              <fill>
                <patternFill>
                  <bgColor theme="0" tint="-4.9989318521683403E-2"/>
                </patternFill>
              </fill>
              <border>
                <right style="thin">
                  <color auto="1"/>
                </right>
              </border>
            </x14:dxf>
          </x14:cfRule>
          <xm:sqref>F12</xm:sqref>
        </x14:conditionalFormatting>
        <x14:conditionalFormatting xmlns:xm="http://schemas.microsoft.com/office/excel/2006/main">
          <x14:cfRule type="expression" priority="10" id="{9187227A-1A9F-462E-B75A-0B00702965AE}">
            <xm:f>AND(計算シート!$B$4=4,計算シート!$B$3&gt;1,VLOOKUP(G8,リストボックス!AB2:AC3,2,0)=2)</xm:f>
            <x14:dxf>
              <font>
                <color theme="1"/>
              </font>
              <fill>
                <patternFill>
                  <bgColor theme="0" tint="-4.9989318521683403E-2"/>
                </patternFill>
              </fill>
              <border>
                <right style="thin">
                  <color auto="1"/>
                </right>
              </border>
            </x14:dxf>
          </x14:cfRule>
          <xm:sqref>F13</xm:sqref>
        </x14:conditionalFormatting>
        <x14:conditionalFormatting xmlns:xm="http://schemas.microsoft.com/office/excel/2006/main">
          <x14:cfRule type="expression" priority="22" id="{54ACC330-6A35-4911-99A3-4D20E03EFF41}">
            <xm:f>計算シート!$B$2=2</xm:f>
            <x14:dxf>
              <fill>
                <patternFill>
                  <bgColor theme="1"/>
                </patternFill>
              </fill>
            </x14:dxf>
          </x14:cfRule>
          <xm:sqref>F17:F38</xm:sqref>
        </x14:conditionalFormatting>
        <x14:conditionalFormatting xmlns:xm="http://schemas.microsoft.com/office/excel/2006/main">
          <x14:cfRule type="expression" priority="5" id="{7F96F0D0-63B4-4686-856C-EB24914B2668}">
            <xm:f>計算シート!$B$46=1</xm:f>
            <x14:dxf>
              <font>
                <color theme="0" tint="-4.9989318521683403E-2"/>
              </font>
              <fill>
                <patternFill>
                  <bgColor theme="0" tint="-4.9989318521683403E-2"/>
                </patternFill>
              </fill>
            </x14:dxf>
          </x14:cfRule>
          <xm:sqref>F8:G9</xm:sqref>
        </x14:conditionalFormatting>
        <x14:conditionalFormatting xmlns:xm="http://schemas.microsoft.com/office/excel/2006/main">
          <x14:cfRule type="expression" priority="4" id="{69E1FE1E-60CD-4DDC-ADA4-CA3030388C8D}">
            <xm:f>計算シート!$B$46=1</xm:f>
            <x14:dxf>
              <font>
                <color theme="0" tint="-4.9989318521683403E-2"/>
              </font>
              <fill>
                <patternFill>
                  <bgColor theme="0" tint="-4.9989318521683403E-2"/>
                </patternFill>
              </fill>
            </x14:dxf>
          </x14:cfRule>
          <xm:sqref>F11:G13</xm:sqref>
        </x14:conditionalFormatting>
        <x14:conditionalFormatting xmlns:xm="http://schemas.microsoft.com/office/excel/2006/main">
          <x14:cfRule type="expression" priority="6" id="{15A91EC8-BFE2-4D47-A525-2FFB3013BEC2}">
            <xm:f>計算シート!$B$3&gt;1</xm:f>
            <x14:dxf>
              <font>
                <color theme="1"/>
              </font>
              <fill>
                <patternFill>
                  <bgColor rgb="FFCCFFFF"/>
                </patternFill>
              </fill>
              <border>
                <left style="thin">
                  <color auto="1"/>
                </left>
                <vertical/>
                <horizontal/>
              </border>
            </x14:dxf>
          </x14:cfRule>
          <xm:sqref>G8</xm:sqref>
        </x14:conditionalFormatting>
        <x14:conditionalFormatting xmlns:xm="http://schemas.microsoft.com/office/excel/2006/main">
          <x14:cfRule type="expression" priority="11" id="{6FE4DA19-53FD-483C-9DA8-C119E20A9321}">
            <xm:f>AND(計算シート!$B$4&lt;4,計算シート!$B$3&gt;1,VLOOKUP(G8,リストボックス!AB2:AC3,2,0)=2)</xm:f>
            <x14:dxf>
              <font>
                <color theme="1"/>
              </font>
              <fill>
                <patternFill>
                  <bgColor rgb="FFCCFFFF"/>
                </patternFill>
              </fill>
            </x14:dxf>
          </x14:cfRule>
          <xm:sqref>G9</xm:sqref>
        </x14:conditionalFormatting>
        <x14:conditionalFormatting xmlns:xm="http://schemas.microsoft.com/office/excel/2006/main">
          <x14:cfRule type="expression" priority="19" id="{6DE741BF-8799-467F-A838-61FC8617B28C}">
            <xm:f>計算シート!B4=3</xm:f>
            <x14:dxf>
              <font>
                <color theme="1"/>
              </font>
              <fill>
                <patternFill>
                  <bgColor rgb="FFCCFFFF"/>
                </patternFill>
              </fill>
              <border>
                <left style="thin">
                  <color auto="1"/>
                </left>
                <vertical/>
                <horizontal/>
              </border>
            </x14:dxf>
          </x14:cfRule>
          <xm:sqref>G10</xm:sqref>
        </x14:conditionalFormatting>
        <x14:conditionalFormatting xmlns:xm="http://schemas.microsoft.com/office/excel/2006/main">
          <x14:cfRule type="expression" priority="18" id="{4559FD07-F0CB-4D89-B85B-7ABDAFAEC7F9}">
            <xm:f>計算シート!B2=2</xm:f>
            <x14:dxf>
              <font>
                <color theme="1"/>
              </font>
              <fill>
                <patternFill>
                  <bgColor rgb="FFCCFFFF"/>
                </patternFill>
              </fill>
              <border>
                <left style="thin">
                  <color auto="1"/>
                </left>
                <vertical/>
                <horizontal/>
              </border>
            </x14:dxf>
          </x14:cfRule>
          <xm:sqref>G11</xm:sqref>
        </x14:conditionalFormatting>
        <x14:conditionalFormatting xmlns:xm="http://schemas.microsoft.com/office/excel/2006/main">
          <x14:cfRule type="expression" priority="13" id="{89E933C7-B9D2-4208-B7AE-AF47F3D2E940}">
            <xm:f>AND(計算シート!$B$4=4,計算シート!B2&lt;3)</xm:f>
            <x14:dxf>
              <font>
                <color theme="1"/>
              </font>
              <fill>
                <patternFill>
                  <bgColor rgb="FFCCFFFF"/>
                </patternFill>
              </fill>
            </x14:dxf>
          </x14:cfRule>
          <xm:sqref>G12</xm:sqref>
        </x14:conditionalFormatting>
        <x14:conditionalFormatting xmlns:xm="http://schemas.microsoft.com/office/excel/2006/main">
          <x14:cfRule type="expression" priority="9" id="{9145E888-28B8-4E8E-B341-DADA040889DD}">
            <xm:f>AND(計算シート!$B$4=4,計算シート!$B$3&gt;1,VLOOKUP(G8,リストボックス!AB2:AC3,2,0)=2)</xm:f>
            <x14:dxf>
              <font>
                <color theme="1"/>
              </font>
              <fill>
                <patternFill>
                  <bgColor rgb="FFCCFFFF"/>
                </patternFill>
              </fill>
            </x14:dxf>
          </x14:cfRule>
          <xm:sqref>G13</xm:sqref>
        </x14:conditionalFormatting>
        <x14:conditionalFormatting xmlns:xm="http://schemas.microsoft.com/office/excel/2006/main">
          <x14:cfRule type="expression" priority="2" id="{63555E55-361E-468A-8A73-18782AAE018F}">
            <xm:f>計算シート!$B$46=1</xm:f>
            <x14:dxf>
              <font>
                <color theme="1"/>
              </font>
              <fill>
                <patternFill>
                  <bgColor theme="1"/>
                </patternFill>
              </fill>
            </x14:dxf>
          </x14:cfRule>
          <xm:sqref>G17:G38</xm:sqref>
        </x14:conditionalFormatting>
        <x14:conditionalFormatting xmlns:xm="http://schemas.microsoft.com/office/excel/2006/main">
          <x14:cfRule type="expression" priority="20" id="{3CF463A4-855B-4A19-A514-96BBC58BCF53}">
            <xm:f>AND(計算シート!$B$4&lt;4,計算シート!$B$2&lt;3)</xm:f>
            <x14:dxf>
              <fill>
                <patternFill>
                  <bgColor theme="1"/>
                </patternFill>
              </fill>
            </x14:dxf>
          </x14:cfRule>
          <xm:sqref>G18:G20 G22:G38</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1000000}">
          <x14:formula1>
            <xm:f>リストボックス!$A$2:$A$4</xm:f>
          </x14:formula1>
          <xm:sqref>E11</xm:sqref>
        </x14:dataValidation>
        <x14:dataValidation type="list" allowBlank="1" showInputMessage="1" showErrorMessage="1" xr:uid="{00000000-0002-0000-0000-000002000000}">
          <x14:formula1>
            <xm:f>リストボックス!$E$2:$E$3</xm:f>
          </x14:formula1>
          <xm:sqref>E22:G22</xm:sqref>
        </x14:dataValidation>
        <x14:dataValidation type="list" allowBlank="1" showInputMessage="1" showErrorMessage="1" xr:uid="{00000000-0002-0000-0000-000003000000}">
          <x14:formula1>
            <xm:f>リストボックス!$G$2:$G$3</xm:f>
          </x14:formula1>
          <xm:sqref>E32:G32</xm:sqref>
        </x14:dataValidation>
        <x14:dataValidation type="list" allowBlank="1" showInputMessage="1" showErrorMessage="1" xr:uid="{00000000-0002-0000-0000-000004000000}">
          <x14:formula1>
            <xm:f>リストボックス!$I$2:$I$5</xm:f>
          </x14:formula1>
          <xm:sqref>E24:G24</xm:sqref>
        </x14:dataValidation>
        <x14:dataValidation type="list" allowBlank="1" showInputMessage="1" showErrorMessage="1" xr:uid="{00000000-0002-0000-0000-000005000000}">
          <x14:formula1>
            <xm:f>リストボックス!$K$2:$K$5</xm:f>
          </x14:formula1>
          <xm:sqref>E19:G19</xm:sqref>
        </x14:dataValidation>
        <x14:dataValidation type="list" allowBlank="1" showInputMessage="1" showErrorMessage="1" xr:uid="{00000000-0002-0000-0000-000006000000}">
          <x14:formula1>
            <xm:f>リストボックス!$M$2:$M$6</xm:f>
          </x14:formula1>
          <xm:sqref>E20:G20</xm:sqref>
        </x14:dataValidation>
        <x14:dataValidation type="list" allowBlank="1" showInputMessage="1" showErrorMessage="1" xr:uid="{00000000-0002-0000-0000-000007000000}">
          <x14:formula1>
            <xm:f>リストボックス!$C$2:$C$8</xm:f>
          </x14:formula1>
          <xm:sqref>E9</xm:sqref>
        </x14:dataValidation>
        <x14:dataValidation type="list" allowBlank="1" showInputMessage="1" showErrorMessage="1" xr:uid="{00000000-0002-0000-0000-000008000000}">
          <x14:formula1>
            <xm:f>IF(VLOOKUP($E$9,リストボックス!$C$1:$D$9,2,0)=5,リストボックス!$O$5,IF(計算シート!$B$46=1,リストボックス!$O$2:$O$4,リストボックス!$O$2:$O$5))</xm:f>
          </x14:formula1>
          <xm:sqref>E10</xm:sqref>
        </x14:dataValidation>
        <x14:dataValidation type="list" allowBlank="1" showInputMessage="1" showErrorMessage="1" xr:uid="{00000000-0002-0000-0000-000009000000}">
          <x14:formula1>
            <xm:f>リストボックス!$Q$2:$Q$3</xm:f>
          </x14:formula1>
          <xm:sqref>G10</xm:sqref>
        </x14:dataValidation>
        <x14:dataValidation type="list" allowBlank="1" showInputMessage="1" showErrorMessage="1" xr:uid="{00000000-0002-0000-0000-00000A000000}">
          <x14:formula1>
            <xm:f>リストボックス!$S$2:$S$4</xm:f>
          </x14:formula1>
          <xm:sqref>G11</xm:sqref>
        </x14:dataValidation>
        <x14:dataValidation type="list" allowBlank="1" showInputMessage="1" showErrorMessage="1" xr:uid="{00000000-0002-0000-0000-00000B000000}">
          <x14:formula1>
            <xm:f>リストボックス!$U$2:$U$3</xm:f>
          </x14:formula1>
          <xm:sqref>G9</xm:sqref>
        </x14:dataValidation>
        <x14:dataValidation type="list" allowBlank="1" showInputMessage="1" showErrorMessage="1" xr:uid="{00000000-0002-0000-0000-00000C000000}">
          <x14:formula1>
            <xm:f>リストボックス!$W$2:$W$3</xm:f>
          </x14:formula1>
          <xm:sqref>G13</xm:sqref>
        </x14:dataValidation>
        <x14:dataValidation type="list" allowBlank="1" showInputMessage="1" showErrorMessage="1" xr:uid="{00000000-0002-0000-0000-00000D000000}">
          <x14:formula1>
            <xm:f>リストボックス!$Z$2:$Z$3</xm:f>
          </x14:formula1>
          <xm:sqref>G12</xm:sqref>
        </x14:dataValidation>
        <x14:dataValidation type="list" allowBlank="1" showInputMessage="1" showErrorMessage="1" xr:uid="{00000000-0002-0000-0000-00000E000000}">
          <x14:formula1>
            <xm:f>リストボックス!$AB$2:$AB$3</xm:f>
          </x14:formula1>
          <xm:sqref>G8</xm:sqref>
        </x14:dataValidation>
        <x14:dataValidation type="list" allowBlank="1" showInputMessage="1" showErrorMessage="1" xr:uid="{00000000-0002-0000-0000-00000F000000}">
          <x14:formula1>
            <xm:f>リストボックス!$AD$2:$AD$3</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41"/>
  <sheetViews>
    <sheetView view="pageBreakPreview" zoomScaleNormal="100" zoomScaleSheetLayoutView="100" workbookViewId="0">
      <selection activeCell="E9" sqref="E9"/>
    </sheetView>
  </sheetViews>
  <sheetFormatPr defaultRowHeight="13.5" x14ac:dyDescent="0.15"/>
  <cols>
    <col min="1" max="1" width="1.625" customWidth="1"/>
    <col min="2" max="2" width="7.125" customWidth="1"/>
    <col min="4" max="4" width="24.375" customWidth="1"/>
    <col min="5" max="7" width="22.375" customWidth="1"/>
    <col min="8" max="8" width="13.25" customWidth="1"/>
    <col min="9" max="9" width="0.375" customWidth="1"/>
    <col min="22" max="22" width="8.75" customWidth="1"/>
  </cols>
  <sheetData>
    <row r="1" spans="2:22" ht="23.25" customHeight="1" x14ac:dyDescent="0.15">
      <c r="B1" s="30" t="s">
        <v>194</v>
      </c>
      <c r="E1" s="35" t="s">
        <v>92</v>
      </c>
      <c r="G1" s="37">
        <f>MAX(修正履歴!A:A)</f>
        <v>45489</v>
      </c>
      <c r="H1" s="37"/>
      <c r="I1" t="s">
        <v>93</v>
      </c>
      <c r="N1" s="38" t="s">
        <v>106</v>
      </c>
      <c r="V1" s="37">
        <f>G1</f>
        <v>45489</v>
      </c>
    </row>
    <row r="2" spans="2:22" x14ac:dyDescent="0.15">
      <c r="B2" s="113" t="s">
        <v>195</v>
      </c>
      <c r="G2" s="15"/>
      <c r="H2" s="15"/>
    </row>
    <row r="3" spans="2:22" x14ac:dyDescent="0.15">
      <c r="B3" s="114" t="s">
        <v>196</v>
      </c>
      <c r="G3" s="15"/>
      <c r="H3" s="15"/>
      <c r="J3" t="s">
        <v>177</v>
      </c>
    </row>
    <row r="4" spans="2:22" x14ac:dyDescent="0.15">
      <c r="B4" s="115" t="s">
        <v>197</v>
      </c>
      <c r="G4" s="15"/>
      <c r="H4" s="15"/>
      <c r="J4" t="s">
        <v>108</v>
      </c>
    </row>
    <row r="5" spans="2:22" ht="13.5" customHeight="1" x14ac:dyDescent="0.15">
      <c r="B5" t="s">
        <v>198</v>
      </c>
      <c r="G5" s="15"/>
      <c r="H5" s="15"/>
      <c r="J5" s="159" t="s">
        <v>192</v>
      </c>
      <c r="K5" s="159"/>
      <c r="L5" s="159"/>
      <c r="M5" s="159"/>
      <c r="N5" s="159"/>
      <c r="O5" s="159"/>
      <c r="P5" s="159"/>
      <c r="Q5" s="159"/>
      <c r="R5" s="159"/>
      <c r="S5" s="159"/>
      <c r="T5" s="159"/>
      <c r="U5" s="159"/>
      <c r="V5" s="159"/>
    </row>
    <row r="6" spans="2:22" ht="13.5" customHeight="1" x14ac:dyDescent="0.15">
      <c r="B6" s="31" t="s">
        <v>87</v>
      </c>
      <c r="G6" s="15" t="s">
        <v>94</v>
      </c>
      <c r="H6" s="15"/>
      <c r="J6" s="159"/>
      <c r="K6" s="159"/>
      <c r="L6" s="159"/>
      <c r="M6" s="159"/>
      <c r="N6" s="159"/>
      <c r="O6" s="159"/>
      <c r="P6" s="159"/>
      <c r="Q6" s="159"/>
      <c r="R6" s="159"/>
      <c r="S6" s="159"/>
      <c r="T6" s="159"/>
      <c r="U6" s="159"/>
      <c r="V6" s="159"/>
    </row>
    <row r="7" spans="2:22" ht="24.75" customHeight="1" thickBot="1" x14ac:dyDescent="0.2">
      <c r="B7" s="21" t="s">
        <v>178</v>
      </c>
      <c r="G7" s="15"/>
      <c r="H7" s="15"/>
      <c r="J7" s="159"/>
      <c r="K7" s="159"/>
      <c r="L7" s="159"/>
      <c r="M7" s="159"/>
      <c r="N7" s="159"/>
      <c r="O7" s="159"/>
      <c r="P7" s="159"/>
      <c r="Q7" s="159"/>
      <c r="R7" s="159"/>
      <c r="S7" s="159"/>
      <c r="T7" s="159"/>
      <c r="U7" s="159"/>
      <c r="V7" s="159"/>
    </row>
    <row r="8" spans="2:22" ht="27" customHeight="1" x14ac:dyDescent="0.15">
      <c r="B8" s="125" t="s">
        <v>142</v>
      </c>
      <c r="C8" s="126"/>
      <c r="D8" s="127"/>
      <c r="E8" s="40">
        <v>2024</v>
      </c>
      <c r="F8" s="91" t="s">
        <v>171</v>
      </c>
      <c r="G8" s="88" t="s">
        <v>162</v>
      </c>
      <c r="H8" s="93"/>
      <c r="J8" s="159"/>
      <c r="K8" s="159"/>
      <c r="L8" s="159"/>
      <c r="M8" s="159"/>
      <c r="N8" s="159"/>
      <c r="O8" s="159"/>
      <c r="P8" s="159"/>
      <c r="Q8" s="159"/>
      <c r="R8" s="159"/>
      <c r="S8" s="159"/>
      <c r="T8" s="159"/>
      <c r="U8" s="159"/>
      <c r="V8" s="159"/>
    </row>
    <row r="9" spans="2:22" ht="27" customHeight="1" x14ac:dyDescent="0.15">
      <c r="B9" s="128" t="s">
        <v>89</v>
      </c>
      <c r="C9" s="129"/>
      <c r="D9" s="130"/>
      <c r="E9" s="68" t="s">
        <v>58</v>
      </c>
      <c r="F9" s="89" t="s">
        <v>166</v>
      </c>
      <c r="G9" s="83" t="s">
        <v>164</v>
      </c>
      <c r="H9" s="93"/>
      <c r="J9" s="159"/>
      <c r="K9" s="159"/>
      <c r="L9" s="159"/>
      <c r="M9" s="159"/>
      <c r="N9" s="159"/>
      <c r="O9" s="159"/>
      <c r="P9" s="159"/>
      <c r="Q9" s="159"/>
      <c r="R9" s="159"/>
      <c r="S9" s="159"/>
      <c r="T9" s="159"/>
      <c r="U9" s="159"/>
      <c r="V9" s="159"/>
    </row>
    <row r="10" spans="2:22" ht="27" customHeight="1" x14ac:dyDescent="0.15">
      <c r="B10" s="128" t="s">
        <v>158</v>
      </c>
      <c r="C10" s="129"/>
      <c r="D10" s="130"/>
      <c r="E10" s="48" t="s">
        <v>120</v>
      </c>
      <c r="F10" s="89" t="s">
        <v>167</v>
      </c>
      <c r="G10" s="84" t="s">
        <v>121</v>
      </c>
      <c r="H10" s="94"/>
      <c r="J10" s="159"/>
      <c r="K10" s="159"/>
      <c r="L10" s="159"/>
      <c r="M10" s="159"/>
      <c r="N10" s="159"/>
      <c r="O10" s="159"/>
      <c r="P10" s="159"/>
      <c r="Q10" s="159"/>
      <c r="R10" s="159"/>
      <c r="S10" s="159"/>
      <c r="T10" s="159"/>
      <c r="U10" s="159"/>
      <c r="V10" s="159"/>
    </row>
    <row r="11" spans="2:22" ht="27" customHeight="1" x14ac:dyDescent="0.15">
      <c r="B11" s="128" t="s">
        <v>159</v>
      </c>
      <c r="C11" s="129"/>
      <c r="D11" s="130"/>
      <c r="E11" s="81">
        <v>1</v>
      </c>
      <c r="F11" s="89" t="s">
        <v>168</v>
      </c>
      <c r="G11" s="85" t="s">
        <v>131</v>
      </c>
      <c r="H11" s="94"/>
      <c r="J11" s="159"/>
      <c r="K11" s="159"/>
      <c r="L11" s="159"/>
      <c r="M11" s="159"/>
      <c r="N11" s="159"/>
      <c r="O11" s="159"/>
      <c r="P11" s="159"/>
      <c r="Q11" s="159"/>
      <c r="R11" s="159"/>
      <c r="S11" s="159"/>
      <c r="T11" s="159"/>
      <c r="U11" s="159"/>
      <c r="V11" s="159"/>
    </row>
    <row r="12" spans="2:22" ht="27" customHeight="1" x14ac:dyDescent="0.15">
      <c r="B12" s="128" t="s">
        <v>151</v>
      </c>
      <c r="C12" s="129"/>
      <c r="D12" s="130"/>
      <c r="E12" s="111">
        <v>2</v>
      </c>
      <c r="F12" s="89" t="s">
        <v>169</v>
      </c>
      <c r="G12" s="86" t="s">
        <v>154</v>
      </c>
      <c r="H12" s="95"/>
      <c r="J12" s="72"/>
      <c r="K12" s="72"/>
      <c r="L12" s="72"/>
      <c r="M12" s="72"/>
      <c r="N12" s="72"/>
      <c r="O12" s="72"/>
      <c r="P12" s="72"/>
      <c r="Q12" s="72"/>
      <c r="R12" s="72"/>
      <c r="S12" s="72"/>
      <c r="T12" s="72"/>
      <c r="U12" s="72"/>
      <c r="V12" s="72"/>
    </row>
    <row r="13" spans="2:22" ht="27" customHeight="1" thickBot="1" x14ac:dyDescent="0.2">
      <c r="B13" s="168" t="s">
        <v>189</v>
      </c>
      <c r="C13" s="169"/>
      <c r="D13" s="170"/>
      <c r="E13" s="106" t="s">
        <v>190</v>
      </c>
      <c r="F13" s="90" t="s">
        <v>170</v>
      </c>
      <c r="G13" s="87" t="s">
        <v>145</v>
      </c>
      <c r="H13" s="95"/>
      <c r="J13" s="72"/>
      <c r="K13" s="72"/>
      <c r="L13" s="72"/>
      <c r="M13" s="72"/>
      <c r="N13" s="72"/>
      <c r="O13" s="72"/>
      <c r="P13" s="72"/>
      <c r="Q13" s="72"/>
      <c r="R13" s="72"/>
      <c r="S13" s="72"/>
      <c r="T13" s="72"/>
      <c r="U13" s="72"/>
      <c r="V13" s="72"/>
    </row>
    <row r="14" spans="2:22" ht="27" customHeight="1" x14ac:dyDescent="0.15">
      <c r="B14" s="32" t="s">
        <v>90</v>
      </c>
      <c r="C14" s="16"/>
      <c r="D14" s="16"/>
      <c r="E14" s="16"/>
      <c r="J14" s="39"/>
      <c r="K14" s="39"/>
      <c r="L14" s="39"/>
      <c r="M14" s="39"/>
      <c r="N14" s="39"/>
      <c r="O14" s="39"/>
      <c r="P14" s="39"/>
      <c r="Q14" s="39"/>
      <c r="R14" s="39"/>
      <c r="S14" s="39"/>
      <c r="T14" s="39"/>
      <c r="U14" s="39"/>
      <c r="V14" s="39"/>
    </row>
    <row r="15" spans="2:22" ht="24" customHeight="1" x14ac:dyDescent="0.15">
      <c r="B15" s="21" t="s">
        <v>91</v>
      </c>
      <c r="C15" s="16"/>
      <c r="D15" s="16"/>
      <c r="E15" s="16"/>
      <c r="J15" s="39"/>
      <c r="K15" s="39"/>
      <c r="L15" s="39"/>
      <c r="M15" s="39"/>
      <c r="N15" s="39"/>
      <c r="O15" s="39"/>
      <c r="P15" s="39"/>
      <c r="Q15" s="39"/>
      <c r="R15" s="39"/>
      <c r="S15" s="39"/>
      <c r="T15" s="39"/>
      <c r="U15" s="39"/>
      <c r="V15" s="39"/>
    </row>
    <row r="16" spans="2:22" ht="24" customHeight="1" thickBot="1" x14ac:dyDescent="0.2">
      <c r="B16" s="21" t="s">
        <v>175</v>
      </c>
      <c r="C16" s="16"/>
      <c r="D16" s="16"/>
      <c r="E16" s="16"/>
      <c r="J16" s="39"/>
      <c r="K16" s="39"/>
      <c r="L16" s="39"/>
      <c r="M16" s="39"/>
      <c r="N16" s="39"/>
      <c r="O16" s="39"/>
      <c r="P16" s="39"/>
      <c r="Q16" s="39"/>
      <c r="R16" s="39"/>
      <c r="S16" s="39"/>
      <c r="T16" s="39"/>
      <c r="U16" s="39"/>
      <c r="V16" s="39"/>
    </row>
    <row r="17" spans="2:22" ht="27" customHeight="1" thickBot="1" x14ac:dyDescent="0.2">
      <c r="B17" s="17" t="s">
        <v>34</v>
      </c>
      <c r="C17" s="136" t="s">
        <v>31</v>
      </c>
      <c r="D17" s="137"/>
      <c r="E17" s="18" t="s">
        <v>9</v>
      </c>
      <c r="F17" s="58" t="s">
        <v>10</v>
      </c>
      <c r="G17" s="20" t="s">
        <v>11</v>
      </c>
      <c r="H17" s="96"/>
    </row>
    <row r="18" spans="2:22" ht="27" customHeight="1" thickTop="1" x14ac:dyDescent="0.15">
      <c r="B18" s="14" t="s">
        <v>36</v>
      </c>
      <c r="C18" s="133" t="s">
        <v>76</v>
      </c>
      <c r="D18" s="134"/>
      <c r="E18" s="26">
        <v>2487200</v>
      </c>
      <c r="F18" s="59">
        <v>0</v>
      </c>
      <c r="G18" s="50"/>
      <c r="H18" s="97"/>
    </row>
    <row r="19" spans="2:22" ht="27" customHeight="1" x14ac:dyDescent="0.15">
      <c r="B19" s="2" t="s">
        <v>37</v>
      </c>
      <c r="C19" s="135" t="s">
        <v>4</v>
      </c>
      <c r="D19" s="10" t="s">
        <v>17</v>
      </c>
      <c r="E19" s="22" t="s">
        <v>65</v>
      </c>
      <c r="F19" s="60" t="s">
        <v>65</v>
      </c>
      <c r="G19" s="51" t="s">
        <v>65</v>
      </c>
      <c r="H19" s="98"/>
    </row>
    <row r="20" spans="2:22" ht="27" customHeight="1" x14ac:dyDescent="0.15">
      <c r="B20" s="2" t="s">
        <v>38</v>
      </c>
      <c r="C20" s="135"/>
      <c r="D20" s="10" t="s">
        <v>107</v>
      </c>
      <c r="E20" s="22" t="s">
        <v>65</v>
      </c>
      <c r="F20" s="60" t="s">
        <v>65</v>
      </c>
      <c r="G20" s="51" t="s">
        <v>65</v>
      </c>
      <c r="H20" s="98"/>
    </row>
    <row r="21" spans="2:22" ht="27" customHeight="1" x14ac:dyDescent="0.15">
      <c r="B21" s="2" t="s">
        <v>39</v>
      </c>
      <c r="C21" s="131" t="s">
        <v>5</v>
      </c>
      <c r="D21" s="132"/>
      <c r="E21" s="28">
        <v>34790</v>
      </c>
      <c r="F21" s="61">
        <v>28043</v>
      </c>
      <c r="G21" s="29">
        <v>38504</v>
      </c>
      <c r="H21" s="99"/>
    </row>
    <row r="22" spans="2:22" ht="27" customHeight="1" x14ac:dyDescent="0.15">
      <c r="B22" s="2" t="s">
        <v>40</v>
      </c>
      <c r="C22" s="166" t="s">
        <v>176</v>
      </c>
      <c r="D22" s="167"/>
      <c r="E22" s="22" t="s">
        <v>61</v>
      </c>
      <c r="F22" s="60" t="s">
        <v>61</v>
      </c>
      <c r="G22" s="51" t="s">
        <v>61</v>
      </c>
      <c r="H22" s="98"/>
    </row>
    <row r="23" spans="2:22" ht="27" customHeight="1" x14ac:dyDescent="0.15">
      <c r="B23" s="2" t="s">
        <v>42</v>
      </c>
      <c r="C23" s="133" t="s">
        <v>77</v>
      </c>
      <c r="D23" s="134"/>
      <c r="E23" s="26">
        <v>0</v>
      </c>
      <c r="F23" s="59">
        <v>0</v>
      </c>
      <c r="G23" s="50"/>
      <c r="H23" s="97"/>
    </row>
    <row r="24" spans="2:22" ht="27" customHeight="1" x14ac:dyDescent="0.15">
      <c r="B24" s="2" t="s">
        <v>44</v>
      </c>
      <c r="C24" s="133" t="s">
        <v>2</v>
      </c>
      <c r="D24" s="134"/>
      <c r="E24" s="22" t="s">
        <v>65</v>
      </c>
      <c r="F24" s="60" t="s">
        <v>65</v>
      </c>
      <c r="G24" s="51" t="s">
        <v>65</v>
      </c>
      <c r="H24" s="98"/>
    </row>
    <row r="25" spans="2:22" ht="27" customHeight="1" x14ac:dyDescent="0.15">
      <c r="B25" s="2" t="s">
        <v>45</v>
      </c>
      <c r="C25" s="135" t="s">
        <v>3</v>
      </c>
      <c r="D25" s="10" t="s">
        <v>78</v>
      </c>
      <c r="E25" s="24">
        <v>1</v>
      </c>
      <c r="F25" s="62">
        <v>0</v>
      </c>
      <c r="G25" s="52"/>
      <c r="H25" s="100"/>
      <c r="J25" s="157" t="s">
        <v>199</v>
      </c>
      <c r="K25" s="157"/>
      <c r="L25" s="157"/>
      <c r="M25" s="157"/>
      <c r="N25" s="157"/>
      <c r="O25" s="157"/>
      <c r="P25" s="157"/>
      <c r="Q25" s="157"/>
      <c r="R25" s="157"/>
      <c r="S25" s="157"/>
      <c r="T25" s="157"/>
      <c r="U25" s="157"/>
      <c r="V25" s="157"/>
    </row>
    <row r="26" spans="2:22" ht="27" customHeight="1" x14ac:dyDescent="0.15">
      <c r="B26" s="2" t="s">
        <v>46</v>
      </c>
      <c r="C26" s="135"/>
      <c r="D26" s="10" t="s">
        <v>79</v>
      </c>
      <c r="E26" s="24">
        <v>0</v>
      </c>
      <c r="F26" s="62">
        <v>0</v>
      </c>
      <c r="G26" s="52"/>
      <c r="H26" s="100"/>
      <c r="J26" s="157"/>
      <c r="K26" s="157"/>
      <c r="L26" s="157"/>
      <c r="M26" s="157"/>
      <c r="N26" s="157"/>
      <c r="O26" s="157"/>
      <c r="P26" s="157"/>
      <c r="Q26" s="157"/>
      <c r="R26" s="157"/>
      <c r="S26" s="157"/>
      <c r="T26" s="157"/>
      <c r="U26" s="157"/>
      <c r="V26" s="157"/>
    </row>
    <row r="27" spans="2:22" ht="27" customHeight="1" x14ac:dyDescent="0.15">
      <c r="B27" s="2" t="s">
        <v>47</v>
      </c>
      <c r="C27" s="135"/>
      <c r="D27" s="10" t="s">
        <v>80</v>
      </c>
      <c r="E27" s="24">
        <v>0</v>
      </c>
      <c r="F27" s="62">
        <v>0</v>
      </c>
      <c r="G27" s="52"/>
      <c r="H27" s="100"/>
      <c r="J27" s="157"/>
      <c r="K27" s="157"/>
      <c r="L27" s="157"/>
      <c r="M27" s="157"/>
      <c r="N27" s="157"/>
      <c r="O27" s="157"/>
      <c r="P27" s="157"/>
      <c r="Q27" s="157"/>
      <c r="R27" s="157"/>
      <c r="S27" s="157"/>
      <c r="T27" s="157"/>
      <c r="U27" s="157"/>
      <c r="V27" s="157"/>
    </row>
    <row r="28" spans="2:22" ht="27" customHeight="1" x14ac:dyDescent="0.15">
      <c r="B28" s="2" t="s">
        <v>48</v>
      </c>
      <c r="C28" s="133" t="s">
        <v>81</v>
      </c>
      <c r="D28" s="134"/>
      <c r="E28" s="24">
        <v>1</v>
      </c>
      <c r="F28" s="62">
        <v>0</v>
      </c>
      <c r="G28" s="52"/>
      <c r="H28" s="100"/>
      <c r="J28" s="157"/>
      <c r="K28" s="157"/>
      <c r="L28" s="157"/>
      <c r="M28" s="157"/>
      <c r="N28" s="157"/>
      <c r="O28" s="157"/>
      <c r="P28" s="157"/>
      <c r="Q28" s="157"/>
      <c r="R28" s="157"/>
      <c r="S28" s="157"/>
      <c r="T28" s="157"/>
      <c r="U28" s="157"/>
      <c r="V28" s="157"/>
    </row>
    <row r="29" spans="2:22" ht="27" customHeight="1" x14ac:dyDescent="0.15">
      <c r="B29" s="2" t="s">
        <v>51</v>
      </c>
      <c r="C29" s="133" t="s">
        <v>82</v>
      </c>
      <c r="D29" s="134"/>
      <c r="E29" s="26">
        <v>929000</v>
      </c>
      <c r="F29" s="59">
        <v>0</v>
      </c>
      <c r="G29" s="50"/>
      <c r="H29" s="97"/>
      <c r="J29" s="157"/>
      <c r="K29" s="157"/>
      <c r="L29" s="157"/>
      <c r="M29" s="157"/>
      <c r="N29" s="157"/>
      <c r="O29" s="157"/>
      <c r="P29" s="157"/>
      <c r="Q29" s="157"/>
      <c r="R29" s="157"/>
      <c r="S29" s="157"/>
      <c r="T29" s="157"/>
      <c r="U29" s="157"/>
      <c r="V29" s="157"/>
    </row>
    <row r="30" spans="2:22" ht="27" customHeight="1" x14ac:dyDescent="0.15">
      <c r="B30" s="2" t="s">
        <v>53</v>
      </c>
      <c r="C30" s="133" t="s">
        <v>83</v>
      </c>
      <c r="D30" s="134"/>
      <c r="E30" s="26">
        <v>6000</v>
      </c>
      <c r="F30" s="59">
        <v>0</v>
      </c>
      <c r="G30" s="50"/>
      <c r="H30" s="97"/>
      <c r="J30" s="157"/>
      <c r="K30" s="157"/>
      <c r="L30" s="157"/>
      <c r="M30" s="157"/>
      <c r="N30" s="157"/>
      <c r="O30" s="157"/>
      <c r="P30" s="157"/>
      <c r="Q30" s="157"/>
      <c r="R30" s="157"/>
      <c r="S30" s="157"/>
      <c r="T30" s="157"/>
      <c r="U30" s="157"/>
      <c r="V30" s="157"/>
    </row>
    <row r="31" spans="2:22" ht="27" customHeight="1" x14ac:dyDescent="0.15">
      <c r="B31" s="2" t="s">
        <v>53</v>
      </c>
      <c r="C31" s="133" t="s">
        <v>135</v>
      </c>
      <c r="D31" s="134"/>
      <c r="E31" s="26"/>
      <c r="F31" s="92"/>
      <c r="G31" s="50"/>
      <c r="H31" s="97"/>
      <c r="J31" s="157"/>
      <c r="K31" s="157"/>
      <c r="L31" s="157"/>
      <c r="M31" s="157"/>
      <c r="N31" s="157"/>
      <c r="O31" s="157"/>
      <c r="P31" s="157"/>
      <c r="Q31" s="157"/>
      <c r="R31" s="157"/>
      <c r="S31" s="157"/>
      <c r="T31" s="157"/>
      <c r="U31" s="157"/>
      <c r="V31" s="157"/>
    </row>
    <row r="32" spans="2:22" ht="27" customHeight="1" x14ac:dyDescent="0.15">
      <c r="B32" s="2" t="s">
        <v>54</v>
      </c>
      <c r="C32" s="133" t="s">
        <v>7</v>
      </c>
      <c r="D32" s="134"/>
      <c r="E32" s="22" t="s">
        <v>64</v>
      </c>
      <c r="F32" s="63" t="s">
        <v>63</v>
      </c>
      <c r="G32" s="50"/>
      <c r="H32" s="97"/>
      <c r="J32" s="157"/>
      <c r="K32" s="157"/>
      <c r="L32" s="157"/>
      <c r="M32" s="157"/>
      <c r="N32" s="157"/>
      <c r="O32" s="157"/>
      <c r="P32" s="157"/>
      <c r="Q32" s="157"/>
      <c r="R32" s="157"/>
      <c r="S32" s="157"/>
      <c r="T32" s="157"/>
      <c r="U32" s="157"/>
      <c r="V32" s="157"/>
    </row>
    <row r="33" spans="2:22" ht="27" hidden="1" customHeight="1" thickBot="1" x14ac:dyDescent="0.2">
      <c r="B33" s="41">
        <v>4</v>
      </c>
      <c r="C33" s="150" t="s">
        <v>109</v>
      </c>
      <c r="D33" s="151"/>
      <c r="E33" s="44">
        <v>2</v>
      </c>
      <c r="F33" s="64">
        <v>0</v>
      </c>
      <c r="G33" s="53" t="s">
        <v>63</v>
      </c>
      <c r="H33" s="98"/>
      <c r="J33" s="157"/>
      <c r="K33" s="157"/>
      <c r="L33" s="157"/>
      <c r="M33" s="157"/>
      <c r="N33" s="157"/>
      <c r="O33" s="157"/>
      <c r="P33" s="157"/>
      <c r="Q33" s="157"/>
      <c r="R33" s="157"/>
      <c r="S33" s="157"/>
      <c r="T33" s="157"/>
      <c r="U33" s="157"/>
      <c r="V33" s="157"/>
    </row>
    <row r="34" spans="2:22" ht="27" customHeight="1" x14ac:dyDescent="0.15">
      <c r="B34" s="2" t="s">
        <v>41</v>
      </c>
      <c r="C34" s="149" t="s">
        <v>35</v>
      </c>
      <c r="D34" s="132"/>
      <c r="E34" s="8">
        <v>0</v>
      </c>
      <c r="F34" s="65">
        <v>0</v>
      </c>
      <c r="G34" s="54">
        <v>0</v>
      </c>
      <c r="H34" s="97"/>
      <c r="J34" s="157"/>
      <c r="K34" s="157"/>
      <c r="L34" s="157"/>
      <c r="M34" s="157"/>
      <c r="N34" s="157"/>
      <c r="O34" s="157"/>
      <c r="P34" s="157"/>
      <c r="Q34" s="157"/>
      <c r="R34" s="157"/>
      <c r="S34" s="157"/>
      <c r="T34" s="157"/>
      <c r="U34" s="157"/>
      <c r="V34" s="157"/>
    </row>
    <row r="35" spans="2:22" ht="27" customHeight="1" x14ac:dyDescent="0.15">
      <c r="B35" s="2" t="s">
        <v>43</v>
      </c>
      <c r="C35" s="131" t="s">
        <v>84</v>
      </c>
      <c r="D35" s="132"/>
      <c r="E35" s="8">
        <v>2487200</v>
      </c>
      <c r="F35" s="65">
        <v>0</v>
      </c>
      <c r="G35" s="54">
        <v>0</v>
      </c>
      <c r="H35" s="97"/>
      <c r="J35" s="157"/>
      <c r="K35" s="157"/>
      <c r="L35" s="157"/>
      <c r="M35" s="157"/>
      <c r="N35" s="157"/>
      <c r="O35" s="157"/>
      <c r="P35" s="157"/>
      <c r="Q35" s="157"/>
      <c r="R35" s="157"/>
      <c r="S35" s="157"/>
      <c r="T35" s="157"/>
      <c r="U35" s="157"/>
      <c r="V35" s="157"/>
    </row>
    <row r="36" spans="2:22" ht="27" customHeight="1" x14ac:dyDescent="0.15">
      <c r="B36" s="2" t="s">
        <v>49</v>
      </c>
      <c r="C36" s="133" t="s">
        <v>85</v>
      </c>
      <c r="D36" s="134"/>
      <c r="E36" s="11">
        <v>2</v>
      </c>
      <c r="F36" s="66">
        <v>0</v>
      </c>
      <c r="G36" s="55">
        <v>0</v>
      </c>
      <c r="H36" s="101"/>
      <c r="I36" s="12"/>
      <c r="J36" s="157"/>
      <c r="K36" s="157"/>
      <c r="L36" s="157"/>
      <c r="M36" s="157"/>
      <c r="N36" s="157"/>
      <c r="O36" s="157"/>
      <c r="P36" s="157"/>
      <c r="Q36" s="157"/>
      <c r="R36" s="157"/>
      <c r="S36" s="157"/>
      <c r="T36" s="157"/>
      <c r="U36" s="157"/>
      <c r="V36" s="157"/>
    </row>
    <row r="37" spans="2:22" ht="27" customHeight="1" x14ac:dyDescent="0.15">
      <c r="B37" s="2" t="s">
        <v>50</v>
      </c>
      <c r="C37" s="135" t="s">
        <v>86</v>
      </c>
      <c r="D37" s="134"/>
      <c r="E37" s="9">
        <v>1470000</v>
      </c>
      <c r="F37" s="59">
        <v>350000</v>
      </c>
      <c r="G37" s="50">
        <v>0</v>
      </c>
      <c r="H37" s="97"/>
      <c r="J37" s="157"/>
      <c r="K37" s="157"/>
      <c r="L37" s="157"/>
      <c r="M37" s="157"/>
      <c r="N37" s="157"/>
      <c r="O37" s="157"/>
      <c r="P37" s="157"/>
      <c r="Q37" s="157"/>
      <c r="R37" s="157"/>
      <c r="S37" s="157"/>
      <c r="T37" s="157"/>
      <c r="U37" s="157"/>
      <c r="V37" s="157"/>
    </row>
    <row r="38" spans="2:22" ht="27" customHeight="1" thickBot="1" x14ac:dyDescent="0.2">
      <c r="B38" s="7" t="s">
        <v>55</v>
      </c>
      <c r="C38" s="160" t="s">
        <v>172</v>
      </c>
      <c r="D38" s="161"/>
      <c r="E38" s="33">
        <v>51200</v>
      </c>
      <c r="F38" s="67">
        <v>0</v>
      </c>
      <c r="G38" s="56">
        <v>0</v>
      </c>
      <c r="H38" s="97"/>
      <c r="J38" s="157"/>
      <c r="K38" s="157"/>
      <c r="L38" s="157"/>
      <c r="M38" s="157"/>
      <c r="N38" s="157"/>
      <c r="O38" s="157"/>
      <c r="P38" s="157"/>
      <c r="Q38" s="157"/>
      <c r="R38" s="157"/>
      <c r="S38" s="157"/>
      <c r="T38" s="157"/>
      <c r="U38" s="157"/>
      <c r="V38" s="157"/>
    </row>
    <row r="39" spans="2:22" ht="27" customHeight="1" thickTop="1" thickBot="1" x14ac:dyDescent="0.2">
      <c r="B39" s="41">
        <v>4</v>
      </c>
      <c r="C39" s="158" t="s">
        <v>173</v>
      </c>
      <c r="D39" s="153"/>
      <c r="E39" s="154">
        <v>51200</v>
      </c>
      <c r="F39" s="155"/>
      <c r="G39" s="156"/>
      <c r="H39" s="102"/>
      <c r="J39" s="157"/>
      <c r="K39" s="157"/>
      <c r="L39" s="157"/>
      <c r="M39" s="157"/>
      <c r="N39" s="157"/>
      <c r="O39" s="157"/>
      <c r="P39" s="157"/>
      <c r="Q39" s="157"/>
      <c r="R39" s="157"/>
      <c r="S39" s="157"/>
      <c r="T39" s="157"/>
      <c r="U39" s="157"/>
      <c r="V39" s="157"/>
    </row>
    <row r="40" spans="2:22" ht="27" customHeight="1" thickTop="1" thickBot="1" x14ac:dyDescent="0.2">
      <c r="B40" s="34"/>
      <c r="C40" s="162" t="s">
        <v>174</v>
      </c>
      <c r="D40" s="148"/>
      <c r="E40" s="163" t="s">
        <v>134</v>
      </c>
      <c r="F40" s="164"/>
      <c r="G40" s="165"/>
      <c r="H40" s="16"/>
      <c r="I40" s="15"/>
      <c r="J40" s="157"/>
      <c r="K40" s="157"/>
      <c r="L40" s="157"/>
      <c r="M40" s="157"/>
      <c r="N40" s="157"/>
      <c r="O40" s="157"/>
      <c r="P40" s="157"/>
      <c r="Q40" s="157"/>
      <c r="R40" s="157"/>
      <c r="S40" s="157"/>
      <c r="T40" s="157"/>
      <c r="U40" s="157"/>
      <c r="V40" s="157"/>
    </row>
    <row r="41" spans="2:22" x14ac:dyDescent="0.15">
      <c r="J41" s="157"/>
      <c r="K41" s="157"/>
      <c r="L41" s="157"/>
      <c r="M41" s="157"/>
      <c r="N41" s="157"/>
      <c r="O41" s="157"/>
      <c r="P41" s="157"/>
      <c r="Q41" s="157"/>
      <c r="R41" s="157"/>
      <c r="S41" s="157"/>
      <c r="T41" s="157"/>
      <c r="U41" s="157"/>
      <c r="V41" s="157"/>
    </row>
  </sheetData>
  <protectedRanges>
    <protectedRange sqref="E30 E32:F33" name="範囲2"/>
    <protectedRange sqref="E10:E12" name="範囲1_4"/>
    <protectedRange sqref="G10:H11" name="範囲3"/>
    <protectedRange sqref="E31:H31" name="範囲2_1"/>
  </protectedRanges>
  <mergeCells count="31">
    <mergeCell ref="C28:D28"/>
    <mergeCell ref="C29:D29"/>
    <mergeCell ref="C30:D30"/>
    <mergeCell ref="C32:D32"/>
    <mergeCell ref="C33:D33"/>
    <mergeCell ref="C31:D31"/>
    <mergeCell ref="C19:C20"/>
    <mergeCell ref="B8:D8"/>
    <mergeCell ref="B9:D9"/>
    <mergeCell ref="B11:D11"/>
    <mergeCell ref="C17:D17"/>
    <mergeCell ref="C18:D18"/>
    <mergeCell ref="B10:D10"/>
    <mergeCell ref="B12:D12"/>
    <mergeCell ref="B13:D13"/>
    <mergeCell ref="J25:V41"/>
    <mergeCell ref="C39:D39"/>
    <mergeCell ref="E39:G39"/>
    <mergeCell ref="J5:V11"/>
    <mergeCell ref="C36:D36"/>
    <mergeCell ref="C37:D37"/>
    <mergeCell ref="C38:D38"/>
    <mergeCell ref="C40:D40"/>
    <mergeCell ref="E40:G40"/>
    <mergeCell ref="C35:D35"/>
    <mergeCell ref="C21:D21"/>
    <mergeCell ref="C22:D22"/>
    <mergeCell ref="C23:D23"/>
    <mergeCell ref="C24:D24"/>
    <mergeCell ref="C25:C27"/>
    <mergeCell ref="C34:D34"/>
  </mergeCells>
  <phoneticPr fontId="1"/>
  <dataValidations count="1">
    <dataValidation type="whole" allowBlank="1" showInputMessage="1" showErrorMessage="1" sqref="E12" xr:uid="{00000000-0002-0000-0100-000000000000}">
      <formula1>0</formula1>
      <formula2>99</formula2>
    </dataValidation>
  </dataValidations>
  <pageMargins left="0.23622047244094491" right="0.23622047244094491" top="0.74803149606299213" bottom="0.74803149606299213" header="0.31496062992125984" footer="0.31496062992125984"/>
  <pageSetup paperSize="9" scale="82" fitToWidth="2" orientation="portrait" r:id="rId1"/>
  <colBreaks count="1" manualBreakCount="1">
    <brk id="8" max="40" man="1"/>
  </colBreaks>
  <drawing r:id="rId2"/>
  <extLst>
    <ext xmlns:x14="http://schemas.microsoft.com/office/spreadsheetml/2009/9/main" uri="{78C0D931-6437-407d-A8EE-F0AAD7539E65}">
      <x14:conditionalFormattings>
        <x14:conditionalFormatting xmlns:xm="http://schemas.microsoft.com/office/excel/2006/main">
          <x14:cfRule type="expression" priority="2" id="{1882AE0E-3637-437F-8457-39CEDBFAAE9E}">
            <xm:f>計算シート!$B$4&lt;4</xm:f>
            <x14:dxf>
              <font>
                <color theme="1"/>
              </font>
              <fill>
                <patternFill>
                  <bgColor theme="1"/>
                </patternFill>
              </fill>
            </x14:dxf>
          </x14:cfRule>
          <xm:sqref>B31:H31</xm:sqref>
        </x14:conditionalFormatting>
        <x14:conditionalFormatting xmlns:xm="http://schemas.microsoft.com/office/excel/2006/main">
          <x14:cfRule type="expression" priority="19" id="{054611F8-9BE4-41EC-A1DC-3BF7DD4F33DF}">
            <xm:f>計算シート!$B$2=3</xm:f>
            <x14:dxf>
              <fill>
                <patternFill>
                  <bgColor theme="1"/>
                </patternFill>
              </fill>
            </x14:dxf>
          </x14:cfRule>
          <xm:sqref>E39</xm:sqref>
        </x14:conditionalFormatting>
        <x14:conditionalFormatting xmlns:xm="http://schemas.microsoft.com/office/excel/2006/main">
          <x14:cfRule type="expression" priority="5" id="{92A673A1-EC7A-4782-B579-848B454DF1DF}">
            <xm:f>計算シート!$B$2=3</xm:f>
            <x14:dxf>
              <fill>
                <patternFill>
                  <bgColor theme="1"/>
                </patternFill>
              </fill>
            </x14:dxf>
          </x14:cfRule>
          <xm:sqref>E17:F38</xm:sqref>
        </x14:conditionalFormatting>
        <x14:conditionalFormatting xmlns:xm="http://schemas.microsoft.com/office/excel/2006/main">
          <x14:cfRule type="expression" priority="4" id="{A33508F1-FF94-408C-ACD6-8CF789D6F5DC}">
            <xm:f>計算シート!$B$2=2</xm:f>
            <x14:dxf>
              <fill>
                <patternFill>
                  <bgColor theme="1"/>
                </patternFill>
              </fill>
            </x14:dxf>
          </x14:cfRule>
          <xm:sqref>F17:F31</xm:sqref>
        </x14:conditionalFormatting>
        <x14:conditionalFormatting xmlns:xm="http://schemas.microsoft.com/office/excel/2006/main">
          <x14:cfRule type="expression" priority="24" id="{D183E929-F027-4931-8E84-DFE59E4C8485}">
            <xm:f>計算シート!$B$2=2</xm:f>
            <x14:dxf>
              <fill>
                <patternFill>
                  <bgColor theme="1"/>
                </patternFill>
              </fill>
            </x14:dxf>
          </x14:cfRule>
          <xm:sqref>F34:F38</xm:sqref>
        </x14:conditionalFormatting>
        <x14:conditionalFormatting xmlns:xm="http://schemas.microsoft.com/office/excel/2006/main">
          <x14:cfRule type="expression" priority="3" id="{40E7BC14-B021-4E53-B20C-ECEEFFA2FFE8}">
            <xm:f>AND(計算シート!$B$4&lt;4,計算シート!$B$2&lt;3)</xm:f>
            <x14:dxf>
              <fill>
                <patternFill>
                  <bgColor theme="1"/>
                </patternFill>
              </fill>
            </x14:dxf>
          </x14:cfRule>
          <xm:sqref>G31:H31</xm:sqref>
        </x14:conditionalFormatting>
        <x14:conditionalFormatting xmlns:xm="http://schemas.microsoft.com/office/excel/2006/main">
          <x14:cfRule type="expression" priority="23" id="{81EBBC7B-4231-4D4F-9859-18074803200F}">
            <xm:f>計算シート!$B$2=3</xm:f>
            <x14:dxf>
              <fill>
                <patternFill>
                  <bgColor theme="1"/>
                </patternFill>
              </fill>
            </x14:dxf>
          </x14:cfRule>
          <xm:sqref>G36:H36</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1000000}">
          <x14:formula1>
            <xm:f>リストボックス!$G$2:$G$3</xm:f>
          </x14:formula1>
          <xm:sqref>E32:F32</xm:sqref>
        </x14:dataValidation>
        <x14:dataValidation type="list" allowBlank="1" showInputMessage="1" showErrorMessage="1" xr:uid="{00000000-0002-0000-0100-000002000000}">
          <x14:formula1>
            <xm:f>リストボックス!$A$2:$A$4</xm:f>
          </x14:formula1>
          <xm:sqref>E11</xm:sqref>
        </x14:dataValidation>
        <x14:dataValidation type="list" allowBlank="1" showInputMessage="1" showErrorMessage="1" xr:uid="{00000000-0002-0000-0100-000003000000}">
          <x14:formula1>
            <xm:f>リストボックス!$AB$2:$AB$3</xm:f>
          </x14:formula1>
          <xm:sqref>G8</xm:sqref>
        </x14:dataValidation>
        <x14:dataValidation type="list" allowBlank="1" showInputMessage="1" showErrorMessage="1" xr:uid="{00000000-0002-0000-0100-000004000000}">
          <x14:formula1>
            <xm:f>リストボックス!$Z$2:$Z$3</xm:f>
          </x14:formula1>
          <xm:sqref>G12</xm:sqref>
        </x14:dataValidation>
        <x14:dataValidation type="list" allowBlank="1" showInputMessage="1" showErrorMessage="1" xr:uid="{00000000-0002-0000-0100-000005000000}">
          <x14:formula1>
            <xm:f>リストボックス!$W$2:$W$3</xm:f>
          </x14:formula1>
          <xm:sqref>G13</xm:sqref>
        </x14:dataValidation>
        <x14:dataValidation type="list" allowBlank="1" showInputMessage="1" showErrorMessage="1" xr:uid="{00000000-0002-0000-0100-000006000000}">
          <x14:formula1>
            <xm:f>リストボックス!$U$2:$U$3</xm:f>
          </x14:formula1>
          <xm:sqref>G9</xm:sqref>
        </x14:dataValidation>
        <x14:dataValidation type="list" allowBlank="1" showInputMessage="1" showErrorMessage="1" xr:uid="{00000000-0002-0000-0100-000007000000}">
          <x14:formula1>
            <xm:f>リストボックス!$S$2:$S$4</xm:f>
          </x14:formula1>
          <xm:sqref>G11</xm:sqref>
        </x14:dataValidation>
        <x14:dataValidation type="list" allowBlank="1" showInputMessage="1" showErrorMessage="1" xr:uid="{00000000-0002-0000-0100-000008000000}">
          <x14:formula1>
            <xm:f>リストボックス!$Q$2:$Q$3</xm:f>
          </x14:formula1>
          <xm:sqref>G10</xm:sqref>
        </x14:dataValidation>
        <x14:dataValidation type="list" allowBlank="1" showInputMessage="1" showErrorMessage="1" xr:uid="{00000000-0002-0000-0100-000009000000}">
          <x14:formula1>
            <xm:f>リストボックス!$O$2:$O$5</xm:f>
          </x14:formula1>
          <xm:sqref>E10</xm:sqref>
        </x14:dataValidation>
        <x14:dataValidation type="list" allowBlank="1" showInputMessage="1" showErrorMessage="1" xr:uid="{00000000-0002-0000-0100-00000A000000}">
          <x14:formula1>
            <xm:f>リストボックス!$C$2:$C$5</xm:f>
          </x14:formula1>
          <xm:sqref>E9</xm:sqref>
        </x14:dataValidation>
        <x14:dataValidation type="list" errorStyle="information" allowBlank="1" showInputMessage="1" showErrorMessage="1" errorTitle="対象年度" error="本ツールは、2024年度（令和６年度）以降の申請に対応しています。" xr:uid="{00000000-0002-0000-0100-00000B000000}">
          <x14:formula1>
            <xm:f>リストボックス!$Y$7</xm:f>
          </x14:formula1>
          <xm:sqref>E8</xm:sqref>
        </x14:dataValidation>
        <x14:dataValidation type="list" allowBlank="1" showInputMessage="1" showErrorMessage="1" xr:uid="{00000000-0002-0000-0100-00000C000000}">
          <x14:formula1>
            <xm:f>リストボックス!$AD$2:$AD$3</xm:f>
          </x14:formula1>
          <xm:sqref>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3"/>
  <sheetViews>
    <sheetView workbookViewId="0">
      <selection activeCell="Z7" sqref="Z7"/>
    </sheetView>
  </sheetViews>
  <sheetFormatPr defaultRowHeight="13.5" x14ac:dyDescent="0.15"/>
  <cols>
    <col min="21" max="21" width="14.5" customWidth="1"/>
  </cols>
  <sheetData>
    <row r="1" spans="1:31" x14ac:dyDescent="0.15">
      <c r="A1" t="s">
        <v>19</v>
      </c>
      <c r="B1" t="s">
        <v>56</v>
      </c>
      <c r="C1" t="s">
        <v>14</v>
      </c>
      <c r="D1" t="s">
        <v>56</v>
      </c>
      <c r="E1" t="s">
        <v>6</v>
      </c>
      <c r="F1" t="s">
        <v>56</v>
      </c>
      <c r="G1" t="s">
        <v>15</v>
      </c>
      <c r="H1" t="s">
        <v>56</v>
      </c>
      <c r="I1" t="s">
        <v>2</v>
      </c>
      <c r="J1" t="s">
        <v>56</v>
      </c>
      <c r="K1" t="s">
        <v>16</v>
      </c>
      <c r="L1" t="s">
        <v>56</v>
      </c>
      <c r="M1" t="s">
        <v>18</v>
      </c>
      <c r="N1" t="s">
        <v>56</v>
      </c>
      <c r="O1" t="s">
        <v>115</v>
      </c>
      <c r="P1" t="s">
        <v>116</v>
      </c>
      <c r="Q1" t="s">
        <v>119</v>
      </c>
      <c r="R1" t="s">
        <v>56</v>
      </c>
      <c r="S1" t="s">
        <v>128</v>
      </c>
      <c r="T1" t="s">
        <v>129</v>
      </c>
      <c r="U1" t="s">
        <v>163</v>
      </c>
      <c r="W1" t="s">
        <v>143</v>
      </c>
      <c r="Y1" t="s">
        <v>152</v>
      </c>
      <c r="Z1" t="s">
        <v>153</v>
      </c>
      <c r="AB1" t="s">
        <v>160</v>
      </c>
      <c r="AD1" t="s">
        <v>189</v>
      </c>
    </row>
    <row r="2" spans="1:31" x14ac:dyDescent="0.15">
      <c r="A2">
        <v>2</v>
      </c>
      <c r="B2">
        <v>1</v>
      </c>
      <c r="C2" t="s">
        <v>58</v>
      </c>
      <c r="D2">
        <v>1</v>
      </c>
      <c r="E2" t="s">
        <v>61</v>
      </c>
      <c r="F2">
        <v>0</v>
      </c>
      <c r="G2" t="s">
        <v>63</v>
      </c>
      <c r="H2">
        <v>0</v>
      </c>
      <c r="I2" t="s">
        <v>65</v>
      </c>
      <c r="J2">
        <v>0</v>
      </c>
      <c r="K2" t="s">
        <v>65</v>
      </c>
      <c r="L2">
        <v>0</v>
      </c>
      <c r="M2" t="s">
        <v>65</v>
      </c>
      <c r="N2">
        <v>0</v>
      </c>
      <c r="O2" t="s">
        <v>117</v>
      </c>
      <c r="P2">
        <v>1</v>
      </c>
      <c r="Q2" t="s">
        <v>121</v>
      </c>
      <c r="R2">
        <v>1</v>
      </c>
      <c r="S2" t="s">
        <v>131</v>
      </c>
      <c r="T2">
        <v>1</v>
      </c>
      <c r="U2" t="s">
        <v>164</v>
      </c>
      <c r="V2">
        <v>1</v>
      </c>
      <c r="W2" t="s">
        <v>144</v>
      </c>
      <c r="X2">
        <v>1</v>
      </c>
      <c r="Y2">
        <v>2019</v>
      </c>
      <c r="Z2" t="s">
        <v>154</v>
      </c>
      <c r="AA2">
        <v>1</v>
      </c>
      <c r="AB2" t="s">
        <v>161</v>
      </c>
      <c r="AC2">
        <v>1</v>
      </c>
      <c r="AD2" t="s">
        <v>190</v>
      </c>
      <c r="AE2">
        <v>1</v>
      </c>
    </row>
    <row r="3" spans="1:31" x14ac:dyDescent="0.15">
      <c r="A3">
        <v>1</v>
      </c>
      <c r="B3">
        <v>2</v>
      </c>
      <c r="C3" t="s">
        <v>59</v>
      </c>
      <c r="D3">
        <v>3</v>
      </c>
      <c r="E3" t="s">
        <v>62</v>
      </c>
      <c r="F3">
        <v>1</v>
      </c>
      <c r="G3" t="s">
        <v>64</v>
      </c>
      <c r="H3">
        <v>1</v>
      </c>
      <c r="I3" t="s">
        <v>66</v>
      </c>
      <c r="J3">
        <v>1</v>
      </c>
      <c r="K3" t="s">
        <v>69</v>
      </c>
      <c r="L3">
        <v>1</v>
      </c>
      <c r="M3" t="s">
        <v>72</v>
      </c>
      <c r="N3">
        <v>1</v>
      </c>
      <c r="O3" t="s">
        <v>118</v>
      </c>
      <c r="P3">
        <v>2</v>
      </c>
      <c r="Q3" t="s">
        <v>122</v>
      </c>
      <c r="R3">
        <v>2</v>
      </c>
      <c r="S3" t="s">
        <v>132</v>
      </c>
      <c r="T3">
        <v>2</v>
      </c>
      <c r="U3" t="s">
        <v>165</v>
      </c>
      <c r="V3">
        <v>2</v>
      </c>
      <c r="W3" t="s">
        <v>145</v>
      </c>
      <c r="X3">
        <v>2</v>
      </c>
      <c r="Y3">
        <v>2020</v>
      </c>
      <c r="Z3" t="s">
        <v>155</v>
      </c>
      <c r="AA3">
        <v>2</v>
      </c>
      <c r="AB3" t="s">
        <v>162</v>
      </c>
      <c r="AC3">
        <v>2</v>
      </c>
      <c r="AD3" t="s">
        <v>191</v>
      </c>
      <c r="AE3">
        <v>2</v>
      </c>
    </row>
    <row r="4" spans="1:31" x14ac:dyDescent="0.15">
      <c r="A4" t="s">
        <v>57</v>
      </c>
      <c r="B4">
        <v>3</v>
      </c>
      <c r="C4" t="s">
        <v>60</v>
      </c>
      <c r="D4">
        <v>4</v>
      </c>
      <c r="I4" t="s">
        <v>67</v>
      </c>
      <c r="J4">
        <v>2</v>
      </c>
      <c r="K4" t="s">
        <v>70</v>
      </c>
      <c r="L4">
        <v>2</v>
      </c>
      <c r="M4" t="s">
        <v>73</v>
      </c>
      <c r="N4">
        <v>2</v>
      </c>
      <c r="O4" t="s">
        <v>120</v>
      </c>
      <c r="P4">
        <v>3</v>
      </c>
      <c r="S4" t="s">
        <v>130</v>
      </c>
      <c r="T4">
        <v>0</v>
      </c>
      <c r="Y4">
        <v>2021</v>
      </c>
    </row>
    <row r="5" spans="1:31" x14ac:dyDescent="0.15">
      <c r="C5" t="s">
        <v>88</v>
      </c>
      <c r="D5">
        <v>5</v>
      </c>
      <c r="I5" t="s">
        <v>68</v>
      </c>
      <c r="J5">
        <v>3</v>
      </c>
      <c r="K5" t="s">
        <v>71</v>
      </c>
      <c r="L5">
        <v>3</v>
      </c>
      <c r="M5" t="s">
        <v>74</v>
      </c>
      <c r="N5">
        <v>3</v>
      </c>
      <c r="O5" t="str">
        <f>IF(計算シート!$B$46=0,"給付奨学金","")</f>
        <v/>
      </c>
      <c r="P5">
        <v>4</v>
      </c>
      <c r="Y5">
        <v>2022</v>
      </c>
    </row>
    <row r="6" spans="1:31" x14ac:dyDescent="0.15">
      <c r="C6" t="s">
        <v>181</v>
      </c>
      <c r="D6">
        <v>6</v>
      </c>
      <c r="M6" t="s">
        <v>99</v>
      </c>
      <c r="N6">
        <v>4</v>
      </c>
      <c r="Y6">
        <v>2023</v>
      </c>
    </row>
    <row r="7" spans="1:31" x14ac:dyDescent="0.15">
      <c r="C7" t="s">
        <v>182</v>
      </c>
      <c r="D7">
        <v>7</v>
      </c>
      <c r="Y7">
        <v>2024</v>
      </c>
    </row>
    <row r="8" spans="1:31" x14ac:dyDescent="0.15">
      <c r="C8" t="s">
        <v>183</v>
      </c>
      <c r="D8">
        <v>8</v>
      </c>
      <c r="Y8">
        <v>2025</v>
      </c>
    </row>
    <row r="9" spans="1:31" x14ac:dyDescent="0.15">
      <c r="C9" t="s">
        <v>97</v>
      </c>
      <c r="D9">
        <v>2</v>
      </c>
      <c r="Y9">
        <v>2026</v>
      </c>
    </row>
    <row r="10" spans="1:31" x14ac:dyDescent="0.15">
      <c r="Y10">
        <v>2027</v>
      </c>
    </row>
    <row r="11" spans="1:31" x14ac:dyDescent="0.15">
      <c r="Y11">
        <v>2028</v>
      </c>
    </row>
    <row r="12" spans="1:31" x14ac:dyDescent="0.15">
      <c r="Y12">
        <v>2029</v>
      </c>
    </row>
    <row r="13" spans="1:31" x14ac:dyDescent="0.15">
      <c r="Y13">
        <v>2030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0"/>
  <sheetViews>
    <sheetView topLeftCell="A22" workbookViewId="0">
      <selection activeCell="B43" sqref="B43"/>
    </sheetView>
  </sheetViews>
  <sheetFormatPr defaultRowHeight="13.5" x14ac:dyDescent="0.15"/>
  <cols>
    <col min="1" max="1" width="32.875" bestFit="1" customWidth="1"/>
    <col min="2" max="3" width="12.375" bestFit="1" customWidth="1"/>
    <col min="4" max="4" width="14.5" customWidth="1"/>
  </cols>
  <sheetData>
    <row r="1" spans="1:5" x14ac:dyDescent="0.15">
      <c r="A1" s="47"/>
      <c r="B1" s="47" t="s">
        <v>9</v>
      </c>
      <c r="C1" s="47" t="s">
        <v>10</v>
      </c>
      <c r="D1" s="47" t="s">
        <v>13</v>
      </c>
      <c r="E1" t="s">
        <v>149</v>
      </c>
    </row>
    <row r="2" spans="1:5" x14ac:dyDescent="0.15">
      <c r="A2" s="47" t="s">
        <v>32</v>
      </c>
      <c r="B2" s="110">
        <f>IF($B$46=0,VLOOKUP(入力シート!$E$11,リストボックス!$A$1:$B$4,2,0),1)</f>
        <v>1</v>
      </c>
      <c r="C2" s="47"/>
      <c r="D2" s="47"/>
    </row>
    <row r="3" spans="1:5" x14ac:dyDescent="0.15">
      <c r="A3" s="47" t="s">
        <v>30</v>
      </c>
      <c r="B3" s="47">
        <f>VLOOKUP(入力シート!E9,リストボックス!C2:D9,2,0)</f>
        <v>7</v>
      </c>
      <c r="C3" s="47"/>
      <c r="D3" s="47"/>
    </row>
    <row r="4" spans="1:5" x14ac:dyDescent="0.15">
      <c r="A4" s="57" t="s">
        <v>126</v>
      </c>
      <c r="B4" s="57">
        <f>VLOOKUP(入力シート!E10,リストボックス!O1:P5,2,0)</f>
        <v>2</v>
      </c>
      <c r="C4" s="47"/>
      <c r="D4" s="47"/>
    </row>
    <row r="5" spans="1:5" x14ac:dyDescent="0.15">
      <c r="A5" s="57" t="s">
        <v>127</v>
      </c>
      <c r="B5" s="57">
        <f>IFERROR(VLOOKUP(入力シート!G10,リストボックス!Q1:R3,2,0),0)</f>
        <v>1</v>
      </c>
      <c r="C5" s="47"/>
      <c r="D5" s="47"/>
    </row>
    <row r="6" spans="1:5" x14ac:dyDescent="0.15">
      <c r="A6" s="57" t="s">
        <v>133</v>
      </c>
      <c r="B6" s="57">
        <f>IFERROR(VLOOKUP(入力シート!G11,リストボックス!S1:T4,2,0),0)</f>
        <v>1</v>
      </c>
      <c r="C6" s="47"/>
      <c r="D6" s="47"/>
    </row>
    <row r="7" spans="1:5" x14ac:dyDescent="0.15">
      <c r="A7" s="47" t="s">
        <v>75</v>
      </c>
      <c r="B7" s="103">
        <f>DATE(入力シート!E8,4,1)</f>
        <v>45748</v>
      </c>
      <c r="C7" s="47"/>
      <c r="D7" s="47"/>
    </row>
    <row r="8" spans="1:5" x14ac:dyDescent="0.15">
      <c r="A8" s="47" t="s">
        <v>20</v>
      </c>
      <c r="B8" s="109">
        <f>IF(OR(B3=3,B3=7),DATE(YEAR(B7)-1,1,1),DATE(YEAR(B7),1,1))</f>
        <v>45292</v>
      </c>
      <c r="C8" s="47"/>
      <c r="D8" s="47"/>
    </row>
    <row r="9" spans="1:5" x14ac:dyDescent="0.15">
      <c r="A9" s="47" t="s">
        <v>12</v>
      </c>
      <c r="B9" s="47">
        <f>DATEDIF(入力シート!E21,$B$8,"y")</f>
        <v>124</v>
      </c>
      <c r="C9" s="47">
        <f>DATEDIF(入力シート!F21,$B$8,"y")</f>
        <v>124</v>
      </c>
      <c r="D9" s="47">
        <f>DATEDIF(入力シート!G21,$B$8,"y")</f>
        <v>124</v>
      </c>
    </row>
    <row r="10" spans="1:5" x14ac:dyDescent="0.15">
      <c r="A10" s="47" t="s">
        <v>6</v>
      </c>
      <c r="B10" s="47">
        <f>VLOOKUP(入力シート!E22,リストボックス!$E$1:$F$3,2,0)</f>
        <v>0</v>
      </c>
      <c r="C10" s="47">
        <f>VLOOKUP(入力シート!F22,リストボックス!$E$1:$F$3,2,0)</f>
        <v>0</v>
      </c>
      <c r="D10" s="47">
        <f>VLOOKUP(入力シート!G22,リストボックス!$E$1:$F$3,2,0)</f>
        <v>0</v>
      </c>
    </row>
    <row r="11" spans="1:5" x14ac:dyDescent="0.15">
      <c r="A11" s="47" t="s">
        <v>21</v>
      </c>
      <c r="B11" s="47">
        <f>VLOOKUP(入力シート!E32,リストボックス!$G$1:$H$3,2,0)</f>
        <v>0</v>
      </c>
      <c r="C11" s="47">
        <f>VLOOKUP(入力シート!F32,リストボックス!$G$1:$H$3,2,0)</f>
        <v>0</v>
      </c>
      <c r="D11" s="47">
        <f>VLOOKUP(入力シート!G32,リストボックス!$G$1:$H$3,2,0)</f>
        <v>0</v>
      </c>
    </row>
    <row r="12" spans="1:5" x14ac:dyDescent="0.15">
      <c r="A12" s="47" t="s">
        <v>0</v>
      </c>
      <c r="B12" s="47">
        <f>入力シート!E18</f>
        <v>0</v>
      </c>
      <c r="C12" s="47">
        <f>入力シート!F18</f>
        <v>0</v>
      </c>
      <c r="D12" s="47">
        <f>入力シート!G18</f>
        <v>0</v>
      </c>
    </row>
    <row r="13" spans="1:5" x14ac:dyDescent="0.15">
      <c r="A13" s="47" t="s">
        <v>1</v>
      </c>
      <c r="B13" s="47">
        <f>入力シート!E18-入力シート!E23</f>
        <v>0</v>
      </c>
      <c r="C13" s="47">
        <f>入力シート!F18-入力シート!F23</f>
        <v>0</v>
      </c>
      <c r="D13" s="47">
        <f>入力シート!G18-入力シート!G23</f>
        <v>0</v>
      </c>
    </row>
    <row r="14" spans="1:5" x14ac:dyDescent="0.15">
      <c r="A14" s="47" t="s">
        <v>22</v>
      </c>
      <c r="B14" s="47">
        <f>IF(VLOOKUP(入力シート!E24,リストボックス!$I$1:$J$5,2,0)&gt;0,1,0)</f>
        <v>0</v>
      </c>
      <c r="C14" s="47">
        <f>IF(VLOOKUP(入力シート!F24,リストボックス!$I$1:$J$5,2,0)&gt;0,1,0)</f>
        <v>0</v>
      </c>
      <c r="D14" s="47">
        <f>IF(VLOOKUP(入力シート!G24,リストボックス!$I$1:$J$5,2,0)&gt;0,1,0)</f>
        <v>0</v>
      </c>
    </row>
    <row r="15" spans="1:5" x14ac:dyDescent="0.15">
      <c r="A15" s="47" t="s">
        <v>23</v>
      </c>
      <c r="B15" s="47">
        <f>SUM(B14,入力シート!E25:E28)</f>
        <v>0</v>
      </c>
      <c r="C15" s="47">
        <f>SUM(C14,入力シート!F25:F28)</f>
        <v>0</v>
      </c>
      <c r="D15" s="47">
        <f>SUM(D14,入力シート!G25:G28)</f>
        <v>0</v>
      </c>
    </row>
    <row r="16" spans="1:5" x14ac:dyDescent="0.15">
      <c r="A16" s="47" t="s">
        <v>24</v>
      </c>
      <c r="B16" s="47">
        <f>350000*(1+B15)+IF(B15&gt;0,320000,0)+IF(B27=1,100000,0)</f>
        <v>450000</v>
      </c>
      <c r="C16" s="47">
        <f>350000*(1+C15)+IF(C15&gt;0,320000,0)+IF(B27=1,100000,0)</f>
        <v>450000</v>
      </c>
      <c r="D16" s="47">
        <f>350000*(1+D15)+IF(D15&gt;0,320000,0)+IF(B27=1,100000,0)</f>
        <v>450000</v>
      </c>
    </row>
    <row r="17" spans="1:5" x14ac:dyDescent="0.15">
      <c r="A17" s="47" t="s">
        <v>25</v>
      </c>
      <c r="B17" s="47">
        <f>VLOOKUP(入力シート!E19,リストボックス!$K$1:$L$5,2,0)</f>
        <v>0</v>
      </c>
      <c r="C17" s="47">
        <f>VLOOKUP(入力シート!F19,リストボックス!$K$1:$L$5,2,0)</f>
        <v>0</v>
      </c>
      <c r="D17" s="47">
        <f>VLOOKUP(入力シート!G19,リストボックス!$K$1:$L$5,2,0)</f>
        <v>0</v>
      </c>
    </row>
    <row r="18" spans="1:5" x14ac:dyDescent="0.15">
      <c r="A18" s="47" t="s">
        <v>26</v>
      </c>
      <c r="B18" s="47">
        <f>VLOOKUP(入力シート!E20,リストボックス!$M$1:$N$6,2,0)</f>
        <v>0</v>
      </c>
      <c r="C18" s="47">
        <f>VLOOKUP(入力シート!F20,リストボックス!$M$1:$N$6,2,0)</f>
        <v>0</v>
      </c>
      <c r="D18" s="47">
        <f>VLOOKUP(入力シート!G20,リストボックス!$M$1:$N$6,2,0)</f>
        <v>0</v>
      </c>
    </row>
    <row r="19" spans="1:5" x14ac:dyDescent="0.15">
      <c r="A19" s="47" t="s">
        <v>27</v>
      </c>
      <c r="B19" s="57">
        <f>IF(YEAR(B8)&gt;2022,IF(B9&lt;18,1,0),IF(B9&lt;20,1,0))</f>
        <v>0</v>
      </c>
      <c r="C19" s="57">
        <f>IF(YEAR(B8)&gt;2022,IF(C9&lt;18,1,0),IF(C9&lt;20,1,0))</f>
        <v>0</v>
      </c>
      <c r="D19" s="57">
        <f>IF(YEAR(B8)&gt;2022,IF(D9&lt;18,1,0),IF(D9&lt;20,1,0))</f>
        <v>0</v>
      </c>
    </row>
    <row r="20" spans="1:5" x14ac:dyDescent="0.15">
      <c r="A20" s="47" t="s">
        <v>28</v>
      </c>
      <c r="B20" s="47">
        <f>IF(SUM(B17:B19)&gt;0,1250000+IF(B27=1,100000,0),0)</f>
        <v>0</v>
      </c>
      <c r="C20" s="47">
        <f>IF(SUM(C17:C19)&gt;0,1250000+IF(B27=1,100000,0),0)</f>
        <v>0</v>
      </c>
      <c r="D20" s="47">
        <f>IF(SUM(D17:D19)&gt;0,1250000+IF(B27=1,100000,0),0)</f>
        <v>0</v>
      </c>
    </row>
    <row r="21" spans="1:5" x14ac:dyDescent="0.15">
      <c r="A21" s="47" t="s">
        <v>29</v>
      </c>
      <c r="B21" s="47">
        <f>入力シート!E29</f>
        <v>0</v>
      </c>
      <c r="C21" s="47">
        <f>入力シート!F29</f>
        <v>0</v>
      </c>
      <c r="D21" s="47">
        <f>入力シート!G29</f>
        <v>0</v>
      </c>
    </row>
    <row r="22" spans="1:5" x14ac:dyDescent="0.15">
      <c r="A22" s="47" t="s">
        <v>110</v>
      </c>
      <c r="B22" s="57">
        <f>SUM(入力シート!E30)*IF(B11=1,3/4,1)</f>
        <v>0</v>
      </c>
      <c r="C22" s="57">
        <f>SUM(入力シート!F30)*IF(C11=1,3/4,1)</f>
        <v>0</v>
      </c>
      <c r="D22" s="57">
        <f>SUM(入力シート!G30)*IF(D11=1,3/4,1)</f>
        <v>0</v>
      </c>
    </row>
    <row r="23" spans="1:5" x14ac:dyDescent="0.15">
      <c r="A23" s="57" t="s">
        <v>137</v>
      </c>
      <c r="B23" s="57">
        <f>SUM(入力シート!E31)*IF(B11=1,3/4,1)</f>
        <v>0</v>
      </c>
      <c r="C23" s="57">
        <f>SUM(入力シート!F31)*IF(C11=1,3/4,1)</f>
        <v>0</v>
      </c>
      <c r="D23" s="57">
        <f>SUM(入力シート!G31)*IF(D11=1,3/4,1)</f>
        <v>0</v>
      </c>
    </row>
    <row r="24" spans="1:5" x14ac:dyDescent="0.15">
      <c r="A24" s="47" t="s">
        <v>33</v>
      </c>
      <c r="B24" s="47">
        <f>IF(OR(B10=1,B12&lt;=B20,B13&lt;=B16),1,0)</f>
        <v>1</v>
      </c>
      <c r="C24" s="47">
        <f>IF(OR(C10=1,C12&lt;=C20,C13&lt;=C16),1,0)</f>
        <v>1</v>
      </c>
      <c r="D24" s="47">
        <f>IF(OR(D10=1,D12&lt;=D20,D13&lt;=D16),1,0)</f>
        <v>1</v>
      </c>
    </row>
    <row r="25" spans="1:5" x14ac:dyDescent="0.15">
      <c r="A25" s="57" t="s">
        <v>139</v>
      </c>
      <c r="B25" s="57">
        <f>MAX(0,IF(B2=3,0,IF(B24=1,0,ROUNDDOWN(B21*0.06-B22-B23,-2))))</f>
        <v>0</v>
      </c>
      <c r="C25" s="57">
        <f>MAX(0,IF(B2=1,IF(C24=1,0,ROUNDDOWN(C21*0.06-C22-C23,-2)),0))</f>
        <v>0</v>
      </c>
      <c r="D25" s="57">
        <f>MAX(0,IF(D24=1,0,ROUNDDOWN(D21*0.06-D22-D23,-2)))</f>
        <v>0</v>
      </c>
      <c r="E25" t="s">
        <v>150</v>
      </c>
    </row>
    <row r="26" spans="1:5" x14ac:dyDescent="0.15">
      <c r="A26" s="47" t="s">
        <v>138</v>
      </c>
      <c r="B26" s="57">
        <f>MAX(0,IF(B2=3,0,IF(B24=1,0,ROUNDDOWN(B21*0.06-B22,-2))))</f>
        <v>0</v>
      </c>
      <c r="C26" s="57">
        <f>MAX(0,IF(B2=1,IF(C24=1,0,ROUNDDOWN(C21*0.06-C22,-2)),0))</f>
        <v>0</v>
      </c>
      <c r="D26" s="47">
        <f>MAX(0,IF(D24=1,0,ROUNDDOWN(D21*0.06-D22,-2)))</f>
        <v>0</v>
      </c>
    </row>
    <row r="27" spans="1:5" x14ac:dyDescent="0.15">
      <c r="A27" s="47" t="s">
        <v>95</v>
      </c>
      <c r="B27" s="47">
        <f>IF(入力シート!E8&lt;2021,0,IF(AND(入力シート!E8=2021,B3=3),0,1))</f>
        <v>1</v>
      </c>
      <c r="C27" s="47"/>
      <c r="D27" s="47"/>
      <c r="E27" t="s">
        <v>96</v>
      </c>
    </row>
    <row r="28" spans="1:5" x14ac:dyDescent="0.15">
      <c r="A28" s="47" t="s">
        <v>100</v>
      </c>
      <c r="B28" s="57">
        <f>IF(YEAR(B8)&gt;2021,1,0)</f>
        <v>1</v>
      </c>
      <c r="C28" s="47"/>
      <c r="D28" s="47"/>
      <c r="E28" t="s">
        <v>105</v>
      </c>
    </row>
    <row r="29" spans="1:5" x14ac:dyDescent="0.15">
      <c r="A29" s="47" t="s">
        <v>104</v>
      </c>
      <c r="B29" s="47">
        <f>DATEDIF(入力シート!G21,$B$8-1,"y")</f>
        <v>123</v>
      </c>
      <c r="C29" s="47"/>
      <c r="D29" s="47"/>
    </row>
    <row r="30" spans="1:5" x14ac:dyDescent="0.15">
      <c r="A30" s="47" t="s">
        <v>103</v>
      </c>
      <c r="B30" s="57">
        <f>IFERROR(VALUE(TEXT(MONTH(入力シート!G21),"00")&amp;TEXT(DAY(入力シート!G21),"00")),1000)</f>
        <v>100</v>
      </c>
      <c r="C30" s="47"/>
      <c r="D30" s="47"/>
    </row>
    <row r="31" spans="1:5" x14ac:dyDescent="0.15">
      <c r="A31" s="57" t="s">
        <v>102</v>
      </c>
      <c r="B31" s="69">
        <f>IF(計算シート!$B$46=0,IFERROR(IF(AND(B28=1,B29=18,B30&gt;101,B30&lt;=401),1,0),0),0)</f>
        <v>0</v>
      </c>
      <c r="C31" s="57"/>
      <c r="D31" s="47"/>
    </row>
    <row r="32" spans="1:5" x14ac:dyDescent="0.15">
      <c r="A32" s="57" t="s">
        <v>101</v>
      </c>
      <c r="B32" s="57">
        <f>IF(AND($B$31=1,SUM(入力シート!E25)&gt;0,IF(SUM(入力シート!F25)&gt;0,IF(B26&gt;=C26,1,0),1)&gt;0),7200,0)</f>
        <v>0</v>
      </c>
      <c r="C32" s="57">
        <f>IF(AND($B$31=1,SUM(入力シート!F25)&gt;0,IF(SUM(入力シート!E25)&gt;0,IF(B26&lt;C26,1,0),1)&gt;0),7200,0)</f>
        <v>0</v>
      </c>
      <c r="D32" s="47"/>
    </row>
    <row r="33" spans="1:5" x14ac:dyDescent="0.15">
      <c r="A33" s="57" t="s">
        <v>140</v>
      </c>
      <c r="B33" s="57">
        <f>IFERROR(MAX(0,B26-B32),B26)</f>
        <v>0</v>
      </c>
      <c r="C33" s="57">
        <f>IFERROR(MAX(0,C26-C32),C26)</f>
        <v>0</v>
      </c>
      <c r="D33" s="47"/>
    </row>
    <row r="34" spans="1:5" x14ac:dyDescent="0.15">
      <c r="A34" s="57" t="s">
        <v>141</v>
      </c>
      <c r="B34" s="57">
        <f>IFERROR(MAX(0,B25-B32),B25)</f>
        <v>0</v>
      </c>
      <c r="C34" s="57">
        <f>IFERROR(MAX(0,C25-C32),C25)</f>
        <v>0</v>
      </c>
      <c r="D34" s="47"/>
    </row>
    <row r="35" spans="1:5" x14ac:dyDescent="0.15">
      <c r="A35" s="57" t="s">
        <v>147</v>
      </c>
      <c r="B35" s="69">
        <f>IF(計算シート!$B$46=0,MIN(入力シート!E12,SUM(入力シート!E25:F28)),0)</f>
        <v>0</v>
      </c>
      <c r="C35" s="47"/>
      <c r="D35" s="47"/>
    </row>
    <row r="36" spans="1:5" x14ac:dyDescent="0.15">
      <c r="A36" s="57" t="s">
        <v>111</v>
      </c>
      <c r="B36" s="69">
        <f>IF(計算シート!$B$46=0,IF(AND(B2&gt;1,OR(AND(B2=2,B6&gt;0),SUM(B18:D18)&gt;0)),40000,0),0)</f>
        <v>0</v>
      </c>
      <c r="C36" s="47"/>
      <c r="D36" s="47"/>
    </row>
    <row r="37" spans="1:5" x14ac:dyDescent="0.15">
      <c r="A37" s="57" t="s">
        <v>112</v>
      </c>
      <c r="B37" s="57">
        <f>MAX((B35-2)*40000,0)</f>
        <v>0</v>
      </c>
      <c r="C37" s="47"/>
      <c r="D37" s="47"/>
    </row>
    <row r="38" spans="1:5" x14ac:dyDescent="0.15">
      <c r="A38" s="57" t="s">
        <v>114</v>
      </c>
      <c r="B38" s="69">
        <f>IF(計算シート!$B$46=0,IF(AND(B3&gt;1,VLOOKUP(入力シート!G8,リストボックス!AB2:AC3,2,0)=2,VLOOKUP(入力シート!G9,リストボックス!U2:V5,2,0)=2),22000,0),0)</f>
        <v>0</v>
      </c>
      <c r="C38" s="47"/>
      <c r="D38" s="47"/>
    </row>
    <row r="39" spans="1:5" x14ac:dyDescent="0.15">
      <c r="A39" s="57" t="s">
        <v>113</v>
      </c>
      <c r="B39" s="57">
        <f>IF(B2&lt;3,MAX(SUM(B33:C33)-SUM(B36:B38),0),MAX(D26-SUM(B36:B38),0))</f>
        <v>0</v>
      </c>
      <c r="C39" s="47"/>
      <c r="D39" s="47"/>
    </row>
    <row r="40" spans="1:5" x14ac:dyDescent="0.15">
      <c r="A40" s="57" t="s">
        <v>123</v>
      </c>
      <c r="B40" s="57">
        <f>IF(B39&lt;=189400,1,0)</f>
        <v>1</v>
      </c>
      <c r="C40" s="47"/>
      <c r="D40" s="47"/>
    </row>
    <row r="41" spans="1:5" x14ac:dyDescent="0.15">
      <c r="A41" s="57" t="s">
        <v>124</v>
      </c>
      <c r="B41" s="57">
        <f>IF(B39&lt;=381500,1,0)</f>
        <v>1</v>
      </c>
      <c r="C41" s="47"/>
      <c r="D41" s="47"/>
    </row>
    <row r="42" spans="1:5" x14ac:dyDescent="0.15">
      <c r="A42" s="57" t="s">
        <v>125</v>
      </c>
      <c r="B42" s="57">
        <f>IF(B39&lt;=164600,1,0)</f>
        <v>1</v>
      </c>
      <c r="C42" s="47"/>
      <c r="D42" s="47"/>
    </row>
    <row r="43" spans="1:5" x14ac:dyDescent="0.15">
      <c r="A43" s="57" t="s">
        <v>146</v>
      </c>
      <c r="B43" s="69" t="str">
        <f>IFERROR(IF(B46=0,IF(B4=1,IF(B40=1,"第一種奨学金の家計基準に適格","家計基準不適格"),IF(B4=2,IF(B41=1,"第二種奨学金の家計基準に適格","家計基準不適格"),IF(B4=3,IF(B42=1,"併用の家計基準に適格",IF(B5=1,IF(B40=1,"第一種奨学金の家計基準に適格",IF(B41=1,"第二種奨学金の家計基準に適格","家計基準不適格")),IF(B41=1,"第二種奨学金の家計基準に適格","家計基準不適格"))),""))),IF(B4=1,IF(B47=1,"第一種奨学金の家計基準に適格",IF(B48=1,"第一種奨学金の家計基準△","家計基準不適格")),IF(B4=2,IF(B49=1,"第二種奨学金の家計基準に適格","家計基準不適格"),IF(B4=3,IF(B50=1,"併用の家計基準に適格",IF(B5=1,IF(B47=1,"第一種奨学金の家計基準に適格",IF(B48=1,"第一種奨学金の家計基準△　","")&amp;IF(B49=1,"第二種奨学金の家計基準に適格","家計基準不適格")),IF(B49=1,"第二種奨学金の家計基準に適格","家計基準不適格"))),"")))),"")</f>
        <v>第二種奨学金の家計基準に適格</v>
      </c>
      <c r="C43" s="47"/>
      <c r="D43" s="47"/>
      <c r="E43" t="s">
        <v>157</v>
      </c>
    </row>
    <row r="44" spans="1:5" x14ac:dyDescent="0.15">
      <c r="A44" s="47" t="s">
        <v>8</v>
      </c>
      <c r="B44" s="69" t="str">
        <f>IF(B46=1,"申請できません",IF(AND(B3=2,入力シート!E8&gt;=2020),"エラー",IF(入力シート!E8=0,"年度が入力されていません",IF(SUM(B34:C34,D25)&lt;100,"第Ⅰ区分",IF(SUM(B34:C34,D25)&lt;25600,"第Ⅱ区分",IF(SUM(B34:C34,D25)&lt;51300,"第Ⅲ区分",IF(SUM(B34:C34,D25)&lt;154500,"第Ⅳ区分","対象外")))))))</f>
        <v>申請できません</v>
      </c>
      <c r="C44" s="47"/>
      <c r="D44" s="47"/>
    </row>
    <row r="45" spans="1:5" x14ac:dyDescent="0.15">
      <c r="A45" s="57" t="s">
        <v>148</v>
      </c>
      <c r="B45" s="57" t="str">
        <f>IF(B44="第Ⅳ区分",IF(AND(B35&gt;2,VLOOKUP(入力シート!G12,リストボックス!Z2:AA3,2,0)=1),"（多子世帯）",IF(B3=1,"（理工農系進学の場合）",IF(AND(VLOOKUP(入力シート!G13,リストボックス!W2:X3,2,0)=2,VLOOKUP(入力シート!G8,リストボックス!AB2:AC3,2,0)=2),"（理工農系）","（支援対象外）"))),"")</f>
        <v/>
      </c>
      <c r="C45" s="47"/>
      <c r="D45" s="47"/>
    </row>
    <row r="46" spans="1:5" x14ac:dyDescent="0.15">
      <c r="A46" s="69" t="s">
        <v>184</v>
      </c>
      <c r="B46" s="69">
        <f>IF(VLOOKUP(入力シート!E9,リストボックス!C2:D9,2,0)&gt;5,1,0)</f>
        <v>1</v>
      </c>
    </row>
    <row r="47" spans="1:5" x14ac:dyDescent="0.15">
      <c r="A47" s="69" t="s">
        <v>185</v>
      </c>
      <c r="B47" s="69">
        <f>IF(VLOOKUP(入力シート!$E$13,リストボックス!$AD$2:$AE$3,2,0)=1,IF($B$39&lt;=66400,1,0),IF($B$39&lt;=80100,1,0))</f>
        <v>1</v>
      </c>
    </row>
    <row r="48" spans="1:5" x14ac:dyDescent="0.15">
      <c r="A48" s="69" t="s">
        <v>186</v>
      </c>
      <c r="B48" s="69">
        <f>IF(VLOOKUP(入力シート!$E$13,リストボックス!$AD$2:$AE$3,2,0)=1,IF($B$39&lt;=97800,1,0),IF($B$39&lt;=118600,1,0))</f>
        <v>1</v>
      </c>
    </row>
    <row r="49" spans="1:2" x14ac:dyDescent="0.15">
      <c r="A49" s="69" t="s">
        <v>187</v>
      </c>
      <c r="B49" s="69">
        <f>IF(VLOOKUP(入力シート!$E$13,リストボックス!$AD$2:$AE$3,2,0)=1,IF($B$39&lt;=155300,1,0),IF($B$39&lt;=229800,1,0))</f>
        <v>1</v>
      </c>
    </row>
    <row r="50" spans="1:2" x14ac:dyDescent="0.15">
      <c r="A50" s="69" t="s">
        <v>188</v>
      </c>
      <c r="B50" s="69">
        <f>IF(VLOOKUP(入力シート!$E$13,リストボックス!$AD$2:$AE$3,2,0)=1,IF($B$39&lt;=61600,1,0),IF($B$39&lt;=66400,1,0))</f>
        <v>1</v>
      </c>
    </row>
  </sheetData>
  <phoneticPr fontId="1"/>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election activeCell="B6" sqref="B6"/>
    </sheetView>
  </sheetViews>
  <sheetFormatPr defaultRowHeight="13.5" x14ac:dyDescent="0.15"/>
  <cols>
    <col min="1" max="1" width="10.5" bestFit="1" customWidth="1"/>
  </cols>
  <sheetData>
    <row r="1" spans="1:2" x14ac:dyDescent="0.15">
      <c r="A1" s="1">
        <v>45005</v>
      </c>
      <c r="B1" t="s">
        <v>98</v>
      </c>
    </row>
    <row r="2" spans="1:2" x14ac:dyDescent="0.15">
      <c r="A2" s="1">
        <v>45363</v>
      </c>
      <c r="B2" t="s">
        <v>136</v>
      </c>
    </row>
    <row r="3" spans="1:2" x14ac:dyDescent="0.15">
      <c r="A3" s="1">
        <v>45383</v>
      </c>
      <c r="B3" t="s">
        <v>179</v>
      </c>
    </row>
    <row r="4" spans="1:2" x14ac:dyDescent="0.15">
      <c r="A4" s="1">
        <v>45463</v>
      </c>
      <c r="B4" t="s">
        <v>180</v>
      </c>
    </row>
    <row r="5" spans="1:2" x14ac:dyDescent="0.15">
      <c r="A5" s="1">
        <v>45489</v>
      </c>
      <c r="B5" t="s">
        <v>193</v>
      </c>
    </row>
    <row r="6" spans="1:2" x14ac:dyDescent="0.15">
      <c r="A6"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入力シート</vt:lpstr>
      <vt:lpstr>入力例</vt:lpstr>
      <vt:lpstr>リストボックス</vt:lpstr>
      <vt:lpstr>計算シート</vt:lpstr>
      <vt:lpstr>修正履歴</vt:lpstr>
      <vt:lpstr>入力シート!Print_Area</vt:lpstr>
      <vt:lpstr>入力例!Print_Area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貸与額算定基準額判定ツール</dc:title>
  <dc:creator>JASSO</dc:creator>
  <cp:lastModifiedBy>kokusaikt4</cp:lastModifiedBy>
  <cp:lastPrinted>2024-11-01T01:06:20Z</cp:lastPrinted>
  <dcterms:created xsi:type="dcterms:W3CDTF">2006-09-16T00:00:00Z</dcterms:created>
  <dcterms:modified xsi:type="dcterms:W3CDTF">2024-11-01T01:07:12Z</dcterms:modified>
</cp:coreProperties>
</file>