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4.国際戦略チーム\45.留学生担当\★トビタテ！留学JAPAN\☆基本４コース（全国版）\2026（第18期）\"/>
    </mc:Choice>
  </mc:AlternateContent>
  <xr:revisionPtr revIDLastSave="0" documentId="8_{5CA0BF9C-6C9B-4F7D-BCE7-763397631B91}" xr6:coauthVersionLast="47" xr6:coauthVersionMax="47" xr10:uidLastSave="{00000000-0000-0000-0000-000000000000}"/>
  <workbookProtection workbookAlgorithmName="SHA-512" workbookHashValue="Sghq2fJ2m7clEa+xCQI3eZGRWpJwDvcUebfPdynLvGfc1+jdR7+0fxOIxHTR1e5beRBQr0i6v67zTk3hSFOjWQ==" workbookSaltValue="R2/D8WHthi1jU7dBNyhsBA==" workbookSpinCount="100000" lockStructure="1"/>
  <bookViews>
    <workbookView xWindow="-120" yWindow="-120" windowWidth="29040" windowHeight="15720" xr2:uid="{00000000-000D-0000-FFFF-FFFF00000000}"/>
  </bookViews>
  <sheets>
    <sheet name="入力シート（大学18期）" sheetId="2" r:id="rId1"/>
    <sheet name="入力例（大学18期）" sheetId="6" r:id="rId2"/>
    <sheet name="リストボックス" sheetId="4" state="hidden" r:id="rId3"/>
    <sheet name="計算シート" sheetId="5" state="hidden" r:id="rId4"/>
    <sheet name="修正履歴" sheetId="7" state="hidden" r:id="rId5"/>
  </sheets>
  <definedNames>
    <definedName name="_xlnm._FilterDatabase" localSheetId="0" hidden="1">'入力シート（大学18期）'!$B$6:$G$40</definedName>
    <definedName name="_xlnm.Print_Area" localSheetId="0">'入力シート（大学18期）'!$A$1:$I$43</definedName>
    <definedName name="_xlnm.Print_Area" localSheetId="1">'入力例（大学18期）'!$A$1:$V$43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 i="2" l="1"/>
  <c r="B46" i="5" l="1"/>
  <c r="B2" i="5" l="1"/>
  <c r="B35" i="5"/>
  <c r="O5" i="4"/>
  <c r="D14" i="2"/>
  <c r="B13" i="2"/>
  <c r="B10" i="2"/>
  <c r="F17" i="2"/>
  <c r="E17" i="2"/>
  <c r="H1" i="6"/>
  <c r="V1" i="6" s="1"/>
  <c r="B37" i="5" l="1"/>
  <c r="B4" i="5" l="1"/>
  <c r="C40" i="2" l="1"/>
  <c r="C38" i="2"/>
  <c r="C39" i="2"/>
  <c r="B6" i="5"/>
  <c r="B5" i="5"/>
  <c r="F10" i="2" l="1"/>
  <c r="B30" i="5" l="1"/>
  <c r="B3" i="5" l="1"/>
  <c r="F8" i="6" l="1"/>
  <c r="F9" i="6"/>
  <c r="B38" i="5"/>
  <c r="F13" i="2"/>
  <c r="F9" i="2"/>
  <c r="F8" i="2"/>
  <c r="B27" i="5"/>
  <c r="D18" i="5"/>
  <c r="C18" i="5"/>
  <c r="B18" i="5"/>
  <c r="D20" i="2" l="1"/>
  <c r="B7" i="5" l="1"/>
  <c r="B8" i="5" s="1"/>
  <c r="D17" i="5"/>
  <c r="C17" i="5"/>
  <c r="B17" i="5"/>
  <c r="D14" i="5"/>
  <c r="C14" i="5"/>
  <c r="B14" i="5"/>
  <c r="D11" i="5"/>
  <c r="C11" i="5"/>
  <c r="B11" i="5"/>
  <c r="D10" i="5"/>
  <c r="C10" i="5"/>
  <c r="B10" i="5"/>
  <c r="B51" i="5" l="1"/>
  <c r="B52" i="5" s="1"/>
  <c r="B16" i="2"/>
  <c r="F12" i="2"/>
  <c r="B36" i="5"/>
  <c r="B22" i="5"/>
  <c r="B23" i="5"/>
  <c r="D23" i="5"/>
  <c r="D22" i="5"/>
  <c r="C23" i="5"/>
  <c r="C22" i="5"/>
  <c r="F11" i="2"/>
  <c r="D21" i="5"/>
  <c r="C21" i="5"/>
  <c r="B21" i="5"/>
  <c r="D15" i="5"/>
  <c r="C15" i="5"/>
  <c r="B15" i="5"/>
  <c r="D13" i="5"/>
  <c r="C13" i="5"/>
  <c r="B13" i="5"/>
  <c r="D12" i="5"/>
  <c r="C12" i="5"/>
  <c r="B12" i="5"/>
  <c r="G35" i="2" l="1"/>
  <c r="F35" i="2"/>
  <c r="E35" i="2"/>
  <c r="D9" i="5"/>
  <c r="D19" i="5" s="1"/>
  <c r="B28" i="5"/>
  <c r="C22" i="2"/>
  <c r="B29" i="5"/>
  <c r="B16" i="5"/>
  <c r="C16" i="5"/>
  <c r="D16" i="5"/>
  <c r="F36" i="2"/>
  <c r="E36" i="2"/>
  <c r="G36" i="2"/>
  <c r="B9" i="5"/>
  <c r="B19" i="5" s="1"/>
  <c r="C9" i="5"/>
  <c r="F37" i="2" l="1"/>
  <c r="G37" i="2"/>
  <c r="E37" i="2"/>
  <c r="B31" i="5"/>
  <c r="C19" i="5"/>
  <c r="C20" i="5" s="1"/>
  <c r="D20" i="5"/>
  <c r="B20" i="5"/>
  <c r="E34" i="2" l="1"/>
  <c r="G34" i="2"/>
  <c r="F34" i="2"/>
  <c r="C24" i="5"/>
  <c r="D24" i="5"/>
  <c r="D25" i="5" s="1"/>
  <c r="B24" i="5"/>
  <c r="B25" i="5" l="1"/>
  <c r="B26" i="5"/>
  <c r="C26" i="5"/>
  <c r="C25" i="5"/>
  <c r="B32" i="5"/>
  <c r="D26" i="5"/>
  <c r="G38" i="2" s="1"/>
  <c r="C32" i="5" l="1"/>
  <c r="C34" i="5" s="1"/>
  <c r="B33" i="5"/>
  <c r="B34" i="5"/>
  <c r="B44" i="5" l="1"/>
  <c r="C33" i="5"/>
  <c r="E38" i="2"/>
  <c r="B39" i="5" l="1"/>
  <c r="E39" i="2" s="1"/>
  <c r="B45" i="5"/>
  <c r="F38" i="2"/>
  <c r="B40" i="5" l="1"/>
  <c r="B49" i="5"/>
  <c r="B50" i="5"/>
  <c r="B42" i="5"/>
  <c r="B47" i="5"/>
  <c r="B41" i="5"/>
  <c r="B43" i="5" s="1"/>
  <c r="B48" i="5"/>
  <c r="E41" i="2"/>
  <c r="E40" i="2" l="1"/>
  <c r="G42" i="2" s="1"/>
</calcChain>
</file>

<file path=xl/sharedStrings.xml><?xml version="1.0" encoding="utf-8"?>
<sst xmlns="http://schemas.openxmlformats.org/spreadsheetml/2006/main" count="353" uniqueCount="237">
  <si>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</si>
  <si>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</si>
  <si>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</si>
  <si>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</si>
  <si>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</si>
  <si>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</si>
  <si>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</si>
  <si>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</si>
  <si>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</si>
  <si>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</si>
  <si>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</si>
  <si>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</si>
  <si>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</si>
  <si>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</si>
  <si>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</si>
  <si>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</si>
  <si>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</si>
  <si>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</si>
  <si>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</si>
  <si>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</si>
  <si>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</si>
  <si>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</si>
  <si>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</si>
  <si>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</si>
  <si>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</si>
  <si>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</si>
  <si>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</si>
  <si>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</si>
  <si>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</si>
  <si>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</si>
  <si>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</si>
  <si>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</si>
  <si>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</si>
  <si>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</si>
  <si>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</si>
  <si>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</si>
  <si>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1.(1)①
2.(1)①</t>
    <phoneticPr fontId="1"/>
  </si>
  <si>
    <t>1.(1)②</t>
    <phoneticPr fontId="1"/>
  </si>
  <si>
    <t>1.(1)③</t>
    <phoneticPr fontId="1"/>
  </si>
  <si>
    <t>1.(1)④</t>
    <phoneticPr fontId="1"/>
  </si>
  <si>
    <t>1.(1)⑤</t>
    <phoneticPr fontId="1"/>
  </si>
  <si>
    <t>1.(2)</t>
    <phoneticPr fontId="1"/>
  </si>
  <si>
    <t>2.(1)②</t>
    <phoneticPr fontId="1"/>
  </si>
  <si>
    <t>2.(1)③</t>
    <phoneticPr fontId="1"/>
  </si>
  <si>
    <t>2.(1)④</t>
    <phoneticPr fontId="1"/>
  </si>
  <si>
    <t>2.(1)⑤</t>
    <phoneticPr fontId="1"/>
  </si>
  <si>
    <t>2.(1)⑥</t>
    <phoneticPr fontId="1"/>
  </si>
  <si>
    <t>2.(1)⑦</t>
    <phoneticPr fontId="1"/>
  </si>
  <si>
    <t>2.(1)⑧</t>
    <phoneticPr fontId="1"/>
  </si>
  <si>
    <t>2.(1)⑨</t>
    <phoneticPr fontId="1"/>
  </si>
  <si>
    <t>2.(2)</t>
    <phoneticPr fontId="1"/>
  </si>
  <si>
    <t>3.(1)①</t>
    <phoneticPr fontId="1"/>
  </si>
  <si>
    <t>3.(1)②</t>
    <phoneticPr fontId="1"/>
  </si>
  <si>
    <t>3.(1)③</t>
    <phoneticPr fontId="1"/>
  </si>
  <si>
    <t>3.(1)④</t>
    <phoneticPr fontId="1"/>
  </si>
  <si>
    <t>3.(2)</t>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</si>
  <si>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</si>
  <si>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</si>
  <si>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</si>
  <si>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</si>
  <si>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</si>
  <si>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</si>
  <si>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</si>
  <si>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</si>
  <si>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</si>
  <si>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</si>
  <si>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</si>
  <si>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</si>
  <si>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</si>
  <si>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</si>
  <si>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</si>
  <si>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</si>
  <si>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</si>
  <si>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</si>
  <si>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</si>
  <si>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</si>
  <si>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</si>
  <si>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</si>
  <si>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</si>
  <si>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</si>
  <si>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</si>
  <si>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</si>
  <si>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</si>
  <si>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</si>
  <si>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</si>
  <si>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</si>
  <si>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</si>
  <si>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</si>
  <si>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</si>
  <si>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</si>
  <si>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</si>
  <si>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　　</t>
    <phoneticPr fontId="1"/>
  </si>
  <si>
    <t>　</t>
    <phoneticPr fontId="1"/>
  </si>
  <si>
    <t>税制改正新旧判定</t>
    <rPh sb="0" eb="2">
      <t>ゼイセイ</t>
    </rPh>
    <rPh sb="2" eb="4">
      <t>カイセイ</t>
    </rPh>
    <rPh sb="4" eb="6">
      <t>シンキュウ</t>
    </rPh>
    <rPh sb="6" eb="8">
      <t>ハンテイ</t>
    </rPh>
    <phoneticPr fontId="1"/>
  </si>
  <si>
    <t>0…2021改正前、1…2021改正後</t>
    <rPh sb="6" eb="9">
      <t>カイセイマエ</t>
    </rPh>
    <rPh sb="16" eb="19">
      <t>カイセイゴ</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</si>
  <si>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</si>
  <si>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公開</t>
    <rPh sb="0" eb="2">
      <t>コウカイ</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</si>
  <si>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</si>
  <si>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</si>
  <si>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</si>
  <si>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</si>
  <si>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</si>
  <si>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</si>
  <si>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</si>
  <si>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</si>
  <si>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</si>
  <si>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</si>
  <si>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</si>
  <si>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</si>
  <si>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</si>
  <si>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</si>
  <si>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</si>
  <si>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</si>
  <si>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</si>
  <si>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</si>
  <si>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</si>
  <si>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</si>
  <si>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</si>
  <si>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</si>
  <si>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</si>
  <si>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</si>
  <si>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</si>
  <si>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</si>
  <si>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</si>
  <si>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</si>
  <si>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</si>
  <si>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</si>
  <si>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</si>
  <si>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</si>
  <si>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</si>
  <si>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</si>
  <si>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市町村民税調整額（円）</t>
    <rPh sb="0" eb="3">
      <t>シチョウソン</t>
    </rPh>
    <rPh sb="3" eb="4">
      <t>ミン</t>
    </rPh>
    <rPh sb="4" eb="5">
      <t>ゼイ</t>
    </rPh>
    <rPh sb="5" eb="7">
      <t>チョウセイ</t>
    </rPh>
    <rPh sb="7" eb="8">
      <t>ガク</t>
    </rPh>
    <rPh sb="9" eb="10">
      <t>エン</t>
    </rPh>
    <phoneticPr fontId="1"/>
  </si>
  <si>
    <t>定期採用対応、支給額算定基準額算定ツールと統合</t>
    <rPh sb="0" eb="2">
      <t>テイキ</t>
    </rPh>
    <rPh sb="2" eb="4">
      <t>サイヨウ</t>
    </rPh>
    <rPh sb="4" eb="6">
      <t>タイオウ</t>
    </rPh>
    <rPh sb="7" eb="15">
      <t>シキュウガクサンテイキジュンガク</t>
    </rPh>
    <rPh sb="15" eb="17">
      <t>サンテイ</t>
    </rPh>
    <rPh sb="21" eb="23">
      <t>トウゴウ</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</si>
  <si>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</si>
  <si>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</si>
  <si>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</si>
  <si>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</si>
  <si>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</si>
  <si>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</si>
  <si>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</si>
  <si>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</si>
  <si>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</si>
  <si>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</si>
  <si>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</si>
  <si>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</si>
  <si>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</si>
  <si>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</si>
  <si>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</si>
  <si>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</si>
  <si>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</si>
  <si>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</si>
  <si>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</si>
  <si>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</si>
  <si>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</si>
  <si>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</si>
  <si>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</si>
  <si>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</si>
  <si>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</si>
  <si>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</si>
  <si>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</si>
  <si>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</si>
  <si>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生計維持者１の続柄を選択してください。</t>
    <phoneticPr fontId="1"/>
  </si>
  <si>
    <t>2024年1月1日時点の生活保護法の
生活扶助の受給</t>
    <phoneticPr fontId="1"/>
  </si>
  <si>
    <t>入力例の記載を修正</t>
    <rPh sb="0" eb="2">
      <t>ニュウリョク</t>
    </rPh>
    <rPh sb="2" eb="3">
      <t>レイ</t>
    </rPh>
    <rPh sb="4" eb="6">
      <t>キサイ</t>
    </rPh>
    <rPh sb="7" eb="9">
      <t>シュウセイ</t>
    </rPh>
    <phoneticPr fontId="1"/>
  </si>
  <si>
    <t>大学院対応</t>
    <rPh sb="0" eb="3">
      <t>ダイガクイン</t>
    </rPh>
    <rPh sb="3" eb="5">
      <t>タイオウ</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</si>
  <si>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</si>
  <si>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</si>
  <si>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</si>
  <si>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</si>
  <si>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</si>
  <si>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</si>
  <si>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</si>
  <si>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</si>
  <si>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</si>
  <si>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</si>
  <si>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</si>
  <si>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アローアンス文言修正</t>
    <rPh sb="6" eb="8">
      <t>モンゴン</t>
    </rPh>
    <rPh sb="8" eb="10">
      <t>シュウセイ</t>
    </rPh>
    <phoneticPr fontId="1"/>
  </si>
  <si>
    <t>修学支援新制度拡充対応</t>
    <rPh sb="0" eb="7">
      <t>シュウガクシエンシンセイド</t>
    </rPh>
    <rPh sb="7" eb="9">
      <t>カクジュウ</t>
    </rPh>
    <rPh sb="9" eb="11">
      <t>タイオウ</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</si>
  <si>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</si>
  <si>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</si>
  <si>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</si>
  <si>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</si>
  <si>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t>本ツールは、本制度の家計基準を判定するためのものです。本制度の家計基準の判定結果が「家計基準内」であっても、</t>
    <phoneticPr fontId="1"/>
  </si>
  <si>
    <t>　※入力にあたっては、別シート「入力例」もご覧ください。</t>
    <phoneticPr fontId="1"/>
  </si>
  <si>
    <r>
      <rPr>
        <b/>
        <sz val="11"/>
        <color rgb="FFFF0000"/>
        <rFont val="ＭＳ Ｐゴシック"/>
        <family val="3"/>
        <charset val="128"/>
        <scheme val="minor"/>
      </rPr>
      <t>黄色いセルは数値を入力、青いセルは該当するものを選択してください。</t>
    </r>
    <r>
      <rPr>
        <sz val="11"/>
        <color theme="1"/>
        <rFont val="ＭＳ Ｐゴシック"/>
        <family val="2"/>
        <scheme val="minor"/>
      </rPr>
      <t>左側の入力によっては右側に新たな質問が表示されます。</t>
    </r>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</si>
  <si>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家計基準判定結果</t>
    <rPh sb="0" eb="4">
      <t>カケイキジュン</t>
    </rPh>
    <rPh sb="4" eb="8">
      <t>ハンテイケッカ</t>
    </rPh>
    <phoneticPr fontId="1"/>
  </si>
  <si>
    <t>第二種奨学金の家計基準に適格</t>
  </si>
  <si>
    <t>家計基準内</t>
  </si>
  <si>
    <t>【入力にあたって】</t>
    <rPh sb="1" eb="3">
      <t>ニュウリョク</t>
    </rPh>
    <phoneticPr fontId="1"/>
  </si>
  <si>
    <t>・</t>
    <phoneticPr fontId="1"/>
  </si>
  <si>
    <t>ツール内部の詳しい計算方法については、本機構が別に公表している「支給額算定基準額・貸与額算定基準額の計算手順（確認シート）」もご覧ください。</t>
    <rPh sb="19" eb="20">
      <t>ホン</t>
    </rPh>
    <rPh sb="20" eb="22">
      <t>キコウ</t>
    </rPh>
    <rPh sb="23" eb="24">
      <t>ベツ</t>
    </rPh>
    <rPh sb="25" eb="27">
      <t>コウヒョウ</t>
    </rPh>
    <rPh sb="32" eb="40">
      <t>シキュウガクサンテイキジュンガク</t>
    </rPh>
    <rPh sb="41" eb="43">
      <t>タイヨ</t>
    </rPh>
    <phoneticPr fontId="1"/>
  </si>
  <si>
    <r>
      <t>本制度の家計基準の判定には、応募者の生計維持者それぞれの市町村民税の課税証明書（自治体によっては「所得証明書」。以下同様。）が必要です。</t>
    </r>
    <r>
      <rPr>
        <sz val="11"/>
        <color rgb="FFFF0000"/>
        <rFont val="ＭＳ Ｐゴシック"/>
        <family val="3"/>
        <charset val="128"/>
        <scheme val="minor"/>
      </rPr>
      <t xml:space="preserve">応募申請に間に合うよう、余裕を持って課税証明書を用意することを応募者に周知してください。
</t>
    </r>
    <rPh sb="0" eb="1">
      <t>ホン</t>
    </rPh>
    <rPh sb="1" eb="3">
      <t>セイド</t>
    </rPh>
    <rPh sb="4" eb="6">
      <t>カケイ</t>
    </rPh>
    <rPh sb="6" eb="8">
      <t>キジュン</t>
    </rPh>
    <rPh sb="9" eb="11">
      <t>ハンテイ</t>
    </rPh>
    <rPh sb="14" eb="16">
      <t>オウボ</t>
    </rPh>
    <rPh sb="16" eb="17">
      <t>シャ</t>
    </rPh>
    <rPh sb="18" eb="20">
      <t>セイケイ</t>
    </rPh>
    <rPh sb="20" eb="22">
      <t>イジ</t>
    </rPh>
    <rPh sb="22" eb="23">
      <t>シャ</t>
    </rPh>
    <rPh sb="28" eb="33">
      <t>シチョウソンミンゼイ</t>
    </rPh>
    <rPh sb="34" eb="36">
      <t>カゼイ</t>
    </rPh>
    <rPh sb="36" eb="39">
      <t>ショウメイショ</t>
    </rPh>
    <rPh sb="56" eb="58">
      <t>イカ</t>
    </rPh>
    <rPh sb="58" eb="60">
      <t>ドウヨウ</t>
    </rPh>
    <rPh sb="63" eb="65">
      <t>ヒツヨウ</t>
    </rPh>
    <rPh sb="68" eb="70">
      <t>オウボ</t>
    </rPh>
    <rPh sb="70" eb="72">
      <t>シンセイ</t>
    </rPh>
    <rPh sb="73" eb="74">
      <t>マ</t>
    </rPh>
    <rPh sb="75" eb="76">
      <t>ア</t>
    </rPh>
    <rPh sb="80" eb="82">
      <t>ヨユウ</t>
    </rPh>
    <rPh sb="83" eb="84">
      <t>モ</t>
    </rPh>
    <rPh sb="86" eb="91">
      <t>カゼイショウメイショ</t>
    </rPh>
    <rPh sb="92" eb="94">
      <t>ヨウイ</t>
    </rPh>
    <rPh sb="99" eb="102">
      <t>オウボシャ</t>
    </rPh>
    <rPh sb="103" eb="105">
      <t>シュウチ</t>
    </rPh>
    <phoneticPr fontId="1"/>
  </si>
  <si>
    <r>
      <t>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ので、</t>
    </r>
    <r>
      <rPr>
        <sz val="11"/>
        <color rgb="FFFF0000"/>
        <rFont val="ＭＳ Ｐゴシック"/>
        <family val="3"/>
        <charset val="128"/>
        <scheme val="minor"/>
      </rPr>
      <t xml:space="preserve">課税証明書の記載内容に不明点がある場合は発行元の自治体にお問い合わせください。
</t>
    </r>
    <r>
      <rPr>
        <sz val="11"/>
        <rFont val="ＭＳ Ｐゴシック"/>
        <family val="3"/>
        <charset val="128"/>
        <scheme val="minor"/>
      </rPr>
      <t>※「所得のみ記載されている証明書」や「税額のみ記載されている証明書」では、貸与額算定基準額は算定できません。</t>
    </r>
    <rPh sb="0" eb="2">
      <t>カキ</t>
    </rPh>
    <rPh sb="3" eb="5">
      <t>カゼイ</t>
    </rPh>
    <rPh sb="5" eb="8">
      <t>ショウメイショ</t>
    </rPh>
    <rPh sb="9" eb="11">
      <t>イチレイ</t>
    </rPh>
    <rPh sb="15" eb="17">
      <t>トクテイ</t>
    </rPh>
    <rPh sb="18" eb="21">
      <t>シチョウソン</t>
    </rPh>
    <rPh sb="32" eb="34">
      <t>カゼイ</t>
    </rPh>
    <rPh sb="34" eb="37">
      <t>ショウメイショ</t>
    </rPh>
    <rPh sb="38" eb="40">
      <t>ショシキ</t>
    </rPh>
    <rPh sb="41" eb="44">
      <t>ジチタイ</t>
    </rPh>
    <rPh sb="48" eb="49">
      <t>オオ</t>
    </rPh>
    <rPh sb="51" eb="52">
      <t>コト</t>
    </rPh>
    <rPh sb="105" eb="110">
      <t>カゼイショウメイショ</t>
    </rPh>
    <rPh sb="111" eb="113">
      <t>キサイ</t>
    </rPh>
    <rPh sb="113" eb="115">
      <t>ナイヨウ</t>
    </rPh>
    <rPh sb="116" eb="119">
      <t>フメイテン</t>
    </rPh>
    <rPh sb="122" eb="124">
      <t>バアイ</t>
    </rPh>
    <rPh sb="125" eb="128">
      <t>ハッコウモト</t>
    </rPh>
    <rPh sb="129" eb="132">
      <t>ジチタイ</t>
    </rPh>
    <rPh sb="134" eb="135">
      <t>ト</t>
    </rPh>
    <rPh sb="136" eb="137">
      <t>ア</t>
    </rPh>
    <rPh sb="182" eb="184">
      <t>タイヨ</t>
    </rPh>
    <phoneticPr fontId="1"/>
  </si>
  <si>
    <t>生計維持者について | JASSO</t>
  </si>
  <si>
    <t>【各項目の説明】</t>
  </si>
  <si>
    <t>(1)</t>
    <phoneticPr fontId="1"/>
  </si>
  <si>
    <t>生計維持者の人数を選択します。父母がいる場合は父母が生計維持者になりますので、２名です。</t>
    <phoneticPr fontId="1"/>
  </si>
  <si>
    <t>（参考）</t>
    <rPh sb="1" eb="3">
      <t>サンコウ</t>
    </rPh>
    <phoneticPr fontId="1"/>
  </si>
  <si>
    <t>(2)</t>
    <phoneticPr fontId="1"/>
  </si>
  <si>
    <t>生計維持者が１名の場合、その人の続柄を選択します。</t>
    <rPh sb="0" eb="5">
      <t>セイケイイジシャ</t>
    </rPh>
    <phoneticPr fontId="1"/>
  </si>
  <si>
    <t>(3)</t>
    <phoneticPr fontId="1"/>
  </si>
  <si>
    <t>生計維持者が扶養している「子ども」（扶養親族のうち生計維持者の尊属でなく、扶養している者より年長でない者）の数を入力します。</t>
    <phoneticPr fontId="1"/>
  </si>
  <si>
    <t>(4)</t>
    <phoneticPr fontId="1"/>
  </si>
  <si>
    <t>(5)</t>
    <phoneticPr fontId="1"/>
  </si>
  <si>
    <t>課税証明書の「合計所得金額」を入力します。</t>
  </si>
  <si>
    <t>(6)</t>
    <phoneticPr fontId="1"/>
  </si>
  <si>
    <t>(8)</t>
    <phoneticPr fontId="1"/>
  </si>
  <si>
    <t>課税証明書に記載されている方がその税の年度の初日の属する年の１月１日に生活扶助を受給している場合、その旨を選択します。</t>
  </si>
  <si>
    <t>(11)</t>
    <phoneticPr fontId="1"/>
  </si>
  <si>
    <t>(12)</t>
    <phoneticPr fontId="1"/>
  </si>
  <si>
    <t>課税証明書で「配偶者控除」に該当している場合、その旨を選択します。（「配偶者特別控除」は関係しません。）</t>
    <phoneticPr fontId="1"/>
  </si>
  <si>
    <t>(13)</t>
    <phoneticPr fontId="1"/>
  </si>
  <si>
    <t>課税証明書の「課税標準額」を入力します。証明書上に項目が存在しない場合、「課税総所得金額」など「課税○○金額」を全て合計した額を入力します。</t>
    <rPh sb="20" eb="23">
      <t>ショウメイショ</t>
    </rPh>
    <rPh sb="23" eb="24">
      <t>ウエ</t>
    </rPh>
    <rPh sb="25" eb="27">
      <t>コウモク</t>
    </rPh>
    <phoneticPr fontId="1"/>
  </si>
  <si>
    <t>課税証明書の「繰越控除」を入力します。証明書上に項目が存在しない場合、「合計所得金額」から「総所得金額等」を引いた額を入力します。</t>
    <rPh sb="24" eb="26">
      <t>コウモク</t>
    </rPh>
    <phoneticPr fontId="1"/>
  </si>
  <si>
    <t>(18)</t>
    <phoneticPr fontId="1"/>
  </si>
  <si>
    <t>課税証明書の「市（区）町村民税の調整控除額」を入力します。「（都）道府県民税の調整控除額」や「税源移譲前の額」は入力しません。</t>
    <phoneticPr fontId="1"/>
  </si>
  <si>
    <t>(19)</t>
    <phoneticPr fontId="1"/>
  </si>
  <si>
    <t>課税証明書の発行者（市町村民税を賦課した地方公共団体）が政令指定都市である場合には、その旨を選択します。</t>
    <phoneticPr fontId="1"/>
  </si>
  <si>
    <t>(20)</t>
    <phoneticPr fontId="1"/>
  </si>
  <si>
    <t>以上の手順を全ての生計維持者について入力すると、判定結果が表示されます。</t>
    <rPh sb="24" eb="26">
      <t>ハンテイ</t>
    </rPh>
    <phoneticPr fontId="1"/>
  </si>
  <si>
    <r>
      <rPr>
        <b/>
        <sz val="11"/>
        <color rgb="FFFF0000"/>
        <rFont val="ＭＳ Ｐゴシック"/>
        <family val="3"/>
        <charset val="128"/>
        <scheme val="minor"/>
      </rPr>
      <t xml:space="preserve">(7) </t>
    </r>
    <r>
      <rPr>
        <sz val="11"/>
        <rFont val="ＭＳ Ｐゴシック"/>
        <family val="3"/>
        <charset val="128"/>
        <scheme val="minor"/>
      </rPr>
      <t>課税証明書に記載されている方が、課税証明書における障がい者か、寡婦・ひとり親であれば、該当する旨を選択します。</t>
    </r>
    <phoneticPr fontId="1"/>
  </si>
  <si>
    <t>貸与額算定基準額（円）</t>
    <rPh sb="0" eb="8">
      <t>タイヨガクサンテイキジュンガク</t>
    </rPh>
    <rPh sb="3" eb="5">
      <t>サンテイ</t>
    </rPh>
    <rPh sb="5" eb="7">
      <t>キジュン</t>
    </rPh>
    <rPh sb="7" eb="8">
      <t>ガク</t>
    </rPh>
    <rPh sb="9" eb="10">
      <t>エン</t>
    </rPh>
    <phoneticPr fontId="1"/>
  </si>
  <si>
    <t>世帯の貸与額算定基準額（円）</t>
    <rPh sb="0" eb="2">
      <t>セタイ</t>
    </rPh>
    <rPh sb="3" eb="11">
      <t>タイヨガクサンテイキジュンガク</t>
    </rPh>
    <rPh sb="12" eb="13">
      <t>エン</t>
    </rPh>
    <phoneticPr fontId="1"/>
  </si>
  <si>
    <t>家計基準が適格となる種別</t>
    <rPh sb="0" eb="2">
      <t>カケイ</t>
    </rPh>
    <rPh sb="2" eb="4">
      <t>キジュン</t>
    </rPh>
    <rPh sb="5" eb="7">
      <t>テキカク</t>
    </rPh>
    <rPh sb="10" eb="12">
      <t>シュベツ</t>
    </rPh>
    <phoneticPr fontId="1"/>
  </si>
  <si>
    <r>
      <t>官民協働海外留学支援制度～トビタテ！留学JAPAN 新・日本代表プログラム～【大学生等対象】
家計基準判定ツール　2026年度（第18期）応募用</t>
    </r>
    <r>
      <rPr>
        <b/>
        <sz val="11"/>
        <color rgb="FFFF0000"/>
        <rFont val="ＭＳ Ｐゴシック"/>
        <family val="3"/>
        <charset val="128"/>
        <scheme val="minor"/>
      </rPr>
      <t>(大学院以外用）</t>
    </r>
    <rPh sb="0" eb="2">
      <t>カンミン</t>
    </rPh>
    <rPh sb="2" eb="4">
      <t>キョウドウ</t>
    </rPh>
    <rPh sb="4" eb="6">
      <t>カイガイ</t>
    </rPh>
    <rPh sb="6" eb="8">
      <t>リュウガク</t>
    </rPh>
    <rPh sb="8" eb="10">
      <t>シエン</t>
    </rPh>
    <rPh sb="10" eb="12">
      <t>セイド</t>
    </rPh>
    <rPh sb="18" eb="20">
      <t>リュウガク</t>
    </rPh>
    <rPh sb="26" eb="27">
      <t>シン</t>
    </rPh>
    <rPh sb="28" eb="30">
      <t>ニホン</t>
    </rPh>
    <rPh sb="30" eb="32">
      <t>ダイヒョウ</t>
    </rPh>
    <rPh sb="39" eb="41">
      <t>ダイガク</t>
    </rPh>
    <rPh sb="41" eb="42">
      <t>セイ</t>
    </rPh>
    <rPh sb="42" eb="43">
      <t>トウ</t>
    </rPh>
    <rPh sb="43" eb="45">
      <t>タイショウ</t>
    </rPh>
    <rPh sb="47" eb="49">
      <t>カケイ</t>
    </rPh>
    <rPh sb="49" eb="51">
      <t>キジュン</t>
    </rPh>
    <rPh sb="51" eb="53">
      <t>ハンテイ</t>
    </rPh>
    <rPh sb="61" eb="63">
      <t>ネンド</t>
    </rPh>
    <rPh sb="64" eb="65">
      <t>ダイ</t>
    </rPh>
    <rPh sb="67" eb="68">
      <t>キ</t>
    </rPh>
    <rPh sb="69" eb="71">
      <t>オウボ</t>
    </rPh>
    <rPh sb="71" eb="72">
      <t>ヨウ</t>
    </rPh>
    <phoneticPr fontId="1"/>
  </si>
  <si>
    <t>「第二種奨学金（在学採用）」の選考結果は異なる可能性がありますので、ご了承ください。</t>
    <rPh sb="8" eb="10">
      <t>ザイガク</t>
    </rPh>
    <phoneticPr fontId="1"/>
  </si>
  <si>
    <t>課税証明書（所得証明書）は、2025年度（2024年分）のものを用意してください。</t>
    <phoneticPr fontId="1"/>
  </si>
  <si>
    <r>
      <t>本ツールは「トビタテ！留学JAPAN新・日本代表プログラム【大学生等対象】第18期</t>
    </r>
    <r>
      <rPr>
        <sz val="11"/>
        <color rgb="FFFF0000"/>
        <rFont val="ＭＳ Ｐゴシック"/>
        <family val="3"/>
        <charset val="128"/>
        <scheme val="minor"/>
      </rPr>
      <t>(大学院以外用）</t>
    </r>
    <r>
      <rPr>
        <sz val="11"/>
        <rFont val="ＭＳ Ｐゴシック"/>
        <family val="3"/>
        <charset val="128"/>
        <scheme val="minor"/>
      </rPr>
      <t>」の応募専用ツールです。本ツールにご入力いただいて得られた結果と、第二種奨学金の実際の選考結果が相違する場合であっても、本機構はその責任を負いません。</t>
    </r>
    <rPh sb="0" eb="1">
      <t>ホン</t>
    </rPh>
    <rPh sb="11" eb="13">
      <t>リュウガク</t>
    </rPh>
    <rPh sb="18" eb="19">
      <t>シン</t>
    </rPh>
    <rPh sb="20" eb="22">
      <t>ニホン</t>
    </rPh>
    <rPh sb="22" eb="24">
      <t>ダイヒョウ</t>
    </rPh>
    <rPh sb="37" eb="38">
      <t>ダイ</t>
    </rPh>
    <rPh sb="40" eb="41">
      <t>キ</t>
    </rPh>
    <rPh sb="51" eb="53">
      <t>オウボ</t>
    </rPh>
    <rPh sb="53" eb="55">
      <t>センヨウ</t>
    </rPh>
    <rPh sb="61" eb="62">
      <t>ホン</t>
    </rPh>
    <rPh sb="67" eb="69">
      <t>ニュウリョク</t>
    </rPh>
    <rPh sb="74" eb="75">
      <t>エ</t>
    </rPh>
    <rPh sb="78" eb="80">
      <t>ケッカ</t>
    </rPh>
    <rPh sb="82" eb="85">
      <t>ダイニシュ</t>
    </rPh>
    <rPh sb="85" eb="88">
      <t>ショウガクキン</t>
    </rPh>
    <rPh sb="92" eb="94">
      <t>センコウ</t>
    </rPh>
    <rPh sb="94" eb="96">
      <t>ケッカ</t>
    </rPh>
    <rPh sb="97" eb="99">
      <t>ソウイ</t>
    </rPh>
    <rPh sb="101" eb="103">
      <t>バアイ</t>
    </rPh>
    <rPh sb="109" eb="110">
      <t>ホン</t>
    </rPh>
    <rPh sb="110" eb="112">
      <t>キコウ</t>
    </rPh>
    <rPh sb="115" eb="117">
      <t>セキニン</t>
    </rPh>
    <rPh sb="118" eb="119">
      <t>オ</t>
    </rPh>
    <phoneticPr fontId="1"/>
  </si>
  <si>
    <t>(7)</t>
    <phoneticPr fontId="1"/>
  </si>
  <si>
    <r>
      <rPr>
        <b/>
        <sz val="11"/>
        <color rgb="FFFF0000"/>
        <rFont val="ＭＳ Ｐゴシック"/>
        <family val="3"/>
        <charset val="128"/>
        <scheme val="minor"/>
      </rPr>
      <t xml:space="preserve">(8) </t>
    </r>
    <r>
      <rPr>
        <sz val="11"/>
        <rFont val="ＭＳ Ｐゴシック"/>
        <family val="3"/>
        <charset val="128"/>
        <scheme val="minor"/>
      </rPr>
      <t>課税証明書に記載されている方が、課税証明書における障がい者か、寡婦・ひとり親であれば、該当する旨を選択します。</t>
    </r>
    <phoneticPr fontId="1"/>
  </si>
  <si>
    <t>(9)</t>
    <phoneticPr fontId="1"/>
  </si>
  <si>
    <r>
      <rPr>
        <b/>
        <sz val="11"/>
        <color rgb="FFFF0000"/>
        <rFont val="ＭＳ Ｐゴシック"/>
        <family val="3"/>
        <charset val="128"/>
        <scheme val="minor"/>
      </rPr>
      <t xml:space="preserve">(10) </t>
    </r>
    <r>
      <rPr>
        <sz val="11"/>
        <rFont val="ＭＳ Ｐゴシック"/>
        <family val="3"/>
        <charset val="128"/>
        <scheme val="minor"/>
      </rPr>
      <t>生計維持者及び応募者本人の生年月日を入力します。</t>
    </r>
    <rPh sb="5" eb="10">
      <t>セイケイイジシャ</t>
    </rPh>
    <rPh sb="10" eb="11">
      <t>オヨ</t>
    </rPh>
    <rPh sb="12" eb="14">
      <t>オウボ</t>
    </rPh>
    <phoneticPr fontId="1"/>
  </si>
  <si>
    <t>(14)</t>
    <phoneticPr fontId="1"/>
  </si>
  <si>
    <t>(21)</t>
    <phoneticPr fontId="1"/>
  </si>
  <si>
    <t>在籍校の設置者を選択してください。また、通学形態を選択してください。</t>
    <rPh sb="0" eb="2">
      <t>ザイセキ</t>
    </rPh>
    <rPh sb="2" eb="3">
      <t>コウ</t>
    </rPh>
    <rPh sb="4" eb="7">
      <t>セッチシャ</t>
    </rPh>
    <rPh sb="8" eb="10">
      <t>センタク</t>
    </rPh>
    <rPh sb="20" eb="24">
      <t>ツウガクケイタイ</t>
    </rPh>
    <rPh sb="25" eb="27">
      <t>センタク</t>
    </rPh>
    <phoneticPr fontId="1"/>
  </si>
  <si>
    <t>この例では生計維持者が１人の場合を想定して(5)が非表示になっていますが、生計維持者が２人の場合(5)が表示されるので、以下(19)まで同様に入力してください。</t>
    <phoneticPr fontId="1"/>
  </si>
  <si>
    <r>
      <rPr>
        <b/>
        <sz val="11"/>
        <color rgb="FFFF0000"/>
        <rFont val="ＭＳ Ｐゴシック"/>
        <family val="3"/>
        <charset val="128"/>
        <scheme val="minor"/>
      </rPr>
      <t xml:space="preserve">～(17) </t>
    </r>
    <r>
      <rPr>
        <sz val="11"/>
        <color theme="1"/>
        <rFont val="ＭＳ Ｐゴシック"/>
        <family val="2"/>
        <scheme val="minor"/>
      </rPr>
      <t>課税証明書の「扶養控除」の内訳（人数）及び(17)「16歳未満扶養親族」の人数入力します。「その他」がある場合「一般」に数えます。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</si>
</sst>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1"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b/>
      <sz val="11"/>
      <color rgb="FFFF0000"/>
      <name val="ＭＳ Ｐゴシック"/>
      <family val="3"/>
      <charset val="128"/>
      <scheme val="minor"/>
    </font>
    <font>
      <b/>
      <sz val="11"/>
      <name val="ＭＳ Ｐゴシック"/>
      <family val="3"/>
      <charset val="128"/>
      <scheme val="minor"/>
    </font>
    <font>
      <u/>
      <sz val="11"/>
      <color theme="10"/>
      <name val="ＭＳ Ｐゴシック"/>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thin">
        <color indexed="64"/>
      </bottom>
      <diagonal/>
    </border>
    <border>
      <left style="thin">
        <color theme="1"/>
      </left>
      <right/>
      <top/>
      <bottom style="medium">
        <color theme="1"/>
      </bottom>
      <diagonal/>
    </border>
  </borders>
  <cellStyleXfs count="2">
    <xf numFmtId="0" fontId="0" fillId="0" borderId="0"/>
    <xf numFmtId="0" fontId="20" fillId="0" borderId="0" applyNumberFormat="0" applyFill="0" applyBorder="0" applyAlignment="0" applyProtection="0"/>
  </cellStyleXfs>
  <cellXfs count="196">
    <xf numFmtId="0" fontId="0" fillId="0" borderId="0" xfId="0"/>
    <xf numFmtId="14" fontId="0" fillId="0" borderId="0" xfId="0" applyNumberFormat="1"/>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0" fontId="0" fillId="2" borderId="7" xfId="0" applyFill="1" applyBorder="1" applyAlignment="1">
      <alignment horizontal="center" vertical="center"/>
    </xf>
    <xf numFmtId="176" fontId="2" fillId="2" borderId="13" xfId="0" applyNumberFormat="1" applyFont="1" applyFill="1" applyBorder="1" applyAlignment="1">
      <alignment vertical="center" wrapText="1"/>
    </xf>
    <xf numFmtId="176" fontId="2" fillId="2" borderId="11" xfId="0" applyNumberFormat="1" applyFont="1" applyFill="1" applyBorder="1" applyAlignment="1">
      <alignment vertical="center" wrapText="1"/>
    </xf>
    <xf numFmtId="0" fontId="0" fillId="2" borderId="14" xfId="0" applyFill="1" applyBorder="1" applyAlignment="1">
      <alignment vertical="center"/>
    </xf>
    <xf numFmtId="176" fontId="0" fillId="2" borderId="13" xfId="0" applyNumberFormat="1" applyFill="1" applyBorder="1" applyAlignment="1">
      <alignment horizontal="center" vertical="center" wrapText="1"/>
    </xf>
    <xf numFmtId="0" fontId="0" fillId="0" borderId="17" xfId="0" applyBorder="1"/>
    <xf numFmtId="176" fontId="0" fillId="2" borderId="26" xfId="0" applyNumberFormat="1" applyFill="1" applyBorder="1" applyAlignment="1">
      <alignment horizontal="center" vertical="center" wrapText="1"/>
    </xf>
    <xf numFmtId="0" fontId="0" fillId="2" borderId="25"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2"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Alignment="1">
      <alignment vertical="center"/>
    </xf>
    <xf numFmtId="0" fontId="0" fillId="4" borderId="1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1"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1"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3"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xf numFmtId="0" fontId="5" fillId="0" borderId="0" xfId="0" applyFont="1" applyAlignment="1">
      <alignment horizontal="left"/>
    </xf>
    <xf numFmtId="176" fontId="2" fillId="2" borderId="29" xfId="0" applyNumberFormat="1" applyFont="1" applyFill="1" applyBorder="1" applyAlignment="1">
      <alignment vertical="center" wrapText="1"/>
    </xf>
    <xf numFmtId="0" fontId="0" fillId="0" borderId="27" xfId="0" applyBorder="1" applyAlignment="1">
      <alignment horizontal="center" vertical="center"/>
    </xf>
    <xf numFmtId="0" fontId="6" fillId="0" borderId="0" xfId="0" applyFont="1" applyAlignment="1">
      <alignment horizontal="center" vertical="center"/>
    </xf>
    <xf numFmtId="0" fontId="0" fillId="2" borderId="14" xfId="0" applyFill="1" applyBorder="1" applyAlignment="1">
      <alignment vertical="center" shrinkToFit="1"/>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0" borderId="0" xfId="0" applyFont="1"/>
    <xf numFmtId="176" fontId="2" fillId="2" borderId="45"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8"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6" xfId="0" applyNumberFormat="1" applyFill="1" applyBorder="1" applyAlignment="1">
      <alignment horizontal="center" vertical="center" wrapText="1"/>
    </xf>
    <xf numFmtId="176" fontId="2" fillId="5" borderId="31" xfId="0" applyNumberFormat="1" applyFont="1" applyFill="1" applyBorder="1" applyAlignment="1">
      <alignment vertical="center" wrapText="1"/>
    </xf>
    <xf numFmtId="0" fontId="7" fillId="0" borderId="0" xfId="0" applyFont="1"/>
    <xf numFmtId="0" fontId="4" fillId="5" borderId="9" xfId="0" applyFont="1" applyFill="1" applyBorder="1" applyAlignment="1">
      <alignment horizontal="center" vertical="center" wrapText="1"/>
    </xf>
    <xf numFmtId="176" fontId="2" fillId="5" borderId="1" xfId="0" applyNumberFormat="1" applyFont="1" applyFill="1" applyBorder="1" applyAlignment="1">
      <alignment vertical="center" wrapText="1"/>
    </xf>
    <xf numFmtId="0" fontId="0" fillId="5" borderId="1" xfId="0" applyFill="1" applyBorder="1" applyAlignment="1">
      <alignment horizontal="center" vertical="center" wrapText="1"/>
    </xf>
    <xf numFmtId="14" fontId="0" fillId="5" borderId="5" xfId="0" applyNumberFormat="1" applyFill="1" applyBorder="1" applyAlignment="1">
      <alignment horizontal="center" vertical="center" wrapText="1"/>
    </xf>
    <xf numFmtId="177" fontId="0" fillId="5" borderId="1" xfId="0" applyNumberFormat="1" applyFill="1" applyBorder="1" applyAlignment="1">
      <alignment horizontal="center" vertical="center" wrapText="1"/>
    </xf>
    <xf numFmtId="0" fontId="0" fillId="5" borderId="11" xfId="0" applyFill="1" applyBorder="1" applyAlignment="1">
      <alignment horizontal="center" vertical="center" wrapText="1"/>
    </xf>
    <xf numFmtId="0" fontId="8" fillId="5" borderId="38" xfId="0" applyFont="1" applyFill="1" applyBorder="1" applyAlignment="1">
      <alignment horizontal="center" vertical="center" wrapText="1"/>
    </xf>
    <xf numFmtId="176" fontId="2" fillId="5" borderId="5" xfId="0" applyNumberFormat="1" applyFont="1" applyFill="1" applyBorder="1" applyAlignment="1">
      <alignment vertical="center" wrapText="1"/>
    </xf>
    <xf numFmtId="176" fontId="0" fillId="5" borderId="13"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11" fillId="0" borderId="0" xfId="0" applyFont="1"/>
    <xf numFmtId="0" fontId="0" fillId="0" borderId="49" xfId="0" applyBorder="1"/>
    <xf numFmtId="0" fontId="0" fillId="0" borderId="49" xfId="0" applyBorder="1" applyAlignment="1">
      <alignment horizontal="right"/>
    </xf>
    <xf numFmtId="0" fontId="0" fillId="2" borderId="52" xfId="0" applyFill="1" applyBorder="1" applyAlignment="1">
      <alignment vertical="center" wrapText="1"/>
    </xf>
    <xf numFmtId="0" fontId="9" fillId="2" borderId="44" xfId="0" applyFont="1" applyFill="1" applyBorder="1" applyAlignment="1">
      <alignment wrapText="1"/>
    </xf>
    <xf numFmtId="0" fontId="0" fillId="2" borderId="41" xfId="0" applyFill="1" applyBorder="1" applyAlignment="1">
      <alignment wrapText="1"/>
    </xf>
    <xf numFmtId="0" fontId="13" fillId="2" borderId="53"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54"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51" xfId="0" applyFont="1" applyFill="1" applyBorder="1" applyAlignment="1">
      <alignment horizontal="center" vertical="center" wrapText="1"/>
    </xf>
    <xf numFmtId="0" fontId="7" fillId="4" borderId="50" xfId="0" applyFont="1" applyFill="1" applyBorder="1" applyAlignment="1">
      <alignment horizontal="center" vertical="center"/>
    </xf>
    <xf numFmtId="0" fontId="8" fillId="2" borderId="3" xfId="0" applyFont="1" applyFill="1" applyBorder="1" applyAlignment="1">
      <alignment wrapText="1"/>
    </xf>
    <xf numFmtId="0" fontId="8" fillId="2" borderId="55" xfId="0" applyFont="1" applyFill="1" applyBorder="1" applyAlignment="1">
      <alignment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49" xfId="0" applyFont="1" applyFill="1" applyBorder="1" applyAlignment="1">
      <alignment wrapText="1"/>
    </xf>
    <xf numFmtId="180" fontId="0" fillId="4" borderId="58" xfId="0" applyNumberFormat="1" applyFill="1" applyBorder="1" applyAlignment="1">
      <alignment horizontal="center" vertical="center" shrinkToFit="1"/>
    </xf>
    <xf numFmtId="180" fontId="0" fillId="3" borderId="62" xfId="0" applyNumberFormat="1" applyFill="1" applyBorder="1" applyAlignment="1">
      <alignment horizontal="center" vertical="center"/>
    </xf>
    <xf numFmtId="0" fontId="15" fillId="0" borderId="0" xfId="0" applyFont="1"/>
    <xf numFmtId="14" fontId="8" fillId="0" borderId="0" xfId="0" applyNumberFormat="1" applyFont="1"/>
    <xf numFmtId="0" fontId="16" fillId="0" borderId="0" xfId="0" applyFont="1"/>
    <xf numFmtId="0" fontId="8" fillId="0" borderId="27"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7" fillId="0" borderId="0" xfId="0" applyFont="1" applyAlignment="1">
      <alignment horizontal="left" vertical="center"/>
    </xf>
    <xf numFmtId="0" fontId="0" fillId="0" borderId="30" xfId="0" applyBorder="1"/>
    <xf numFmtId="0" fontId="0" fillId="0" borderId="63" xfId="0" applyBorder="1"/>
    <xf numFmtId="0" fontId="0" fillId="0" borderId="63" xfId="0" applyBorder="1" applyAlignment="1">
      <alignment horizontal="right"/>
    </xf>
    <xf numFmtId="179" fontId="0" fillId="0" borderId="0" xfId="0" applyNumberFormat="1" applyAlignment="1">
      <alignment horizontal="right" vertical="top"/>
    </xf>
    <xf numFmtId="0" fontId="10" fillId="0" borderId="0" xfId="0" applyFont="1" applyAlignment="1">
      <alignment vertical="center"/>
    </xf>
    <xf numFmtId="0" fontId="0" fillId="2" borderId="4" xfId="0" applyFill="1" applyBorder="1" applyAlignment="1">
      <alignment horizontal="center" vertical="center" shrinkToFit="1"/>
    </xf>
    <xf numFmtId="0" fontId="0" fillId="2" borderId="35" xfId="0" applyFill="1" applyBorder="1" applyAlignment="1">
      <alignment horizontal="center" vertical="center" shrinkToFit="1"/>
    </xf>
    <xf numFmtId="0" fontId="18" fillId="0" borderId="0" xfId="0" applyFont="1" applyAlignment="1">
      <alignment vertical="center"/>
    </xf>
    <xf numFmtId="0" fontId="8" fillId="0" borderId="0" xfId="0" applyFont="1" applyAlignment="1">
      <alignment vertical="center"/>
    </xf>
    <xf numFmtId="0" fontId="8" fillId="0" borderId="71" xfId="0" applyFont="1" applyBorder="1"/>
    <xf numFmtId="0" fontId="5" fillId="0" borderId="70" xfId="0" applyFont="1" applyBorder="1" applyAlignment="1">
      <alignment horizontal="center" vertical="center"/>
    </xf>
    <xf numFmtId="0" fontId="8" fillId="6" borderId="70"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0" fillId="0" borderId="52" xfId="0" applyBorder="1"/>
    <xf numFmtId="0" fontId="8"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xf numFmtId="0" fontId="5" fillId="0" borderId="0" xfId="0" applyFont="1" applyAlignment="1">
      <alignment horizontal="right" vertical="top"/>
    </xf>
    <xf numFmtId="0" fontId="20" fillId="0" borderId="0" xfId="1"/>
    <xf numFmtId="0" fontId="20" fillId="0" borderId="0" xfId="1" applyAlignment="1">
      <alignment vertical="top"/>
    </xf>
    <xf numFmtId="0" fontId="0" fillId="0" borderId="0" xfId="0" applyAlignment="1">
      <alignment vertical="top"/>
    </xf>
    <xf numFmtId="0" fontId="19" fillId="0" borderId="0" xfId="0" applyFont="1" applyAlignment="1">
      <alignment wrapText="1"/>
    </xf>
    <xf numFmtId="0" fontId="1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11" fillId="0" borderId="0" xfId="0" applyFont="1" applyAlignment="1">
      <alignment horizontal="left" vertical="top"/>
    </xf>
    <xf numFmtId="0" fontId="10" fillId="0" borderId="0" xfId="0" applyFont="1" applyAlignment="1">
      <alignment vertical="top"/>
    </xf>
    <xf numFmtId="49" fontId="18" fillId="0" borderId="0" xfId="0" applyNumberFormat="1" applyFont="1" applyAlignment="1">
      <alignment horizontal="right" vertical="top"/>
    </xf>
    <xf numFmtId="178" fontId="0" fillId="2" borderId="75" xfId="0" applyNumberFormat="1" applyFill="1" applyBorder="1" applyAlignment="1">
      <alignment horizontal="center" vertical="center"/>
    </xf>
    <xf numFmtId="0" fontId="0" fillId="2" borderId="32" xfId="0" applyFill="1" applyBorder="1" applyAlignment="1">
      <alignment horizontal="center" vertical="center" shrinkToFit="1"/>
    </xf>
    <xf numFmtId="0" fontId="0" fillId="2" borderId="63" xfId="0" applyFill="1" applyBorder="1" applyAlignment="1">
      <alignment horizontal="center" vertical="center" shrinkToFit="1"/>
    </xf>
    <xf numFmtId="180" fontId="0" fillId="4" borderId="32" xfId="0" applyNumberFormat="1" applyFill="1" applyBorder="1" applyAlignment="1">
      <alignment horizontal="center" vertical="center"/>
    </xf>
    <xf numFmtId="180" fontId="0" fillId="3" borderId="32" xfId="0" applyNumberFormat="1" applyFill="1" applyBorder="1" applyAlignment="1">
      <alignment horizontal="center" vertical="center"/>
    </xf>
    <xf numFmtId="180" fontId="0" fillId="2" borderId="76" xfId="0" applyNumberFormat="1" applyFill="1" applyBorder="1" applyAlignment="1">
      <alignment horizontal="center" vertical="center" shrinkToFit="1"/>
    </xf>
    <xf numFmtId="0" fontId="0" fillId="2" borderId="18" xfId="0" applyFill="1" applyBorder="1" applyAlignment="1">
      <alignment vertical="center" wrapText="1"/>
    </xf>
    <xf numFmtId="0" fontId="0" fillId="0" borderId="3" xfId="0" applyBorder="1" applyAlignment="1">
      <alignment horizontal="center" vertical="center"/>
    </xf>
    <xf numFmtId="176" fontId="2" fillId="0" borderId="11" xfId="0" applyNumberFormat="1" applyFont="1" applyBorder="1" applyAlignment="1">
      <alignment vertical="center" wrapText="1"/>
    </xf>
    <xf numFmtId="176" fontId="2" fillId="0" borderId="4" xfId="0" applyNumberFormat="1" applyFont="1" applyBorder="1" applyAlignment="1">
      <alignment vertical="center" wrapText="1"/>
    </xf>
    <xf numFmtId="0" fontId="5" fillId="0" borderId="0" xfId="0" applyFont="1" applyAlignment="1">
      <alignment horizontal="center" vertical="center" wrapTex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176" fontId="2" fillId="2" borderId="64" xfId="0" applyNumberFormat="1" applyFont="1" applyFill="1" applyBorder="1" applyAlignment="1">
      <alignment horizontal="center" vertical="center" wrapText="1"/>
    </xf>
    <xf numFmtId="176" fontId="2" fillId="2" borderId="65" xfId="0" applyNumberFormat="1" applyFont="1" applyFill="1" applyBorder="1" applyAlignment="1">
      <alignment horizontal="center" vertical="center" wrapText="1"/>
    </xf>
    <xf numFmtId="176" fontId="2" fillId="2" borderId="66" xfId="0" applyNumberFormat="1" applyFont="1" applyFill="1" applyBorder="1" applyAlignment="1">
      <alignment horizontal="center" vertical="center" wrapText="1"/>
    </xf>
    <xf numFmtId="0" fontId="0" fillId="2" borderId="14" xfId="0"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vertical="top" wrapText="1"/>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20" xfId="0" applyFont="1"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2" borderId="4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5" xfId="0" applyFill="1" applyBorder="1" applyAlignment="1">
      <alignment horizontal="center" vertical="center"/>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cellXfs>
  <cellStyles count="2">
    <cellStyle name="ハイパーリンク" xfId="1" builtinId="8"/>
    <cellStyle name="標準" xfId="0" builtinId="0"/>
  </cellStyles>
  <dxfs count="31">
    <dxf>
      <fill>
        <patternFill>
          <bgColor theme="1"/>
        </patternFill>
      </fill>
    </dxf>
    <dxf>
      <fill>
        <patternFill>
          <bgColor theme="1"/>
        </patternFill>
      </fill>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ill>
        <patternFill>
          <bgColor theme="1"/>
        </patternFill>
      </fill>
    </dxf>
    <dxf>
      <fill>
        <patternFill>
          <bgColor theme="1"/>
        </patternFill>
      </fill>
    </dxf>
    <dxf>
      <font>
        <color theme="1"/>
      </font>
      <fill>
        <patternFill patternType="solid">
          <bgColor theme="0" tint="-4.9989318521683403E-2"/>
        </patternFill>
      </fill>
      <border>
        <right style="thin">
          <color auto="1"/>
        </right>
      </border>
    </dxf>
    <dxf>
      <fill>
        <patternFill>
          <bgColor theme="1"/>
        </patternFill>
      </fill>
    </dxf>
    <dxf>
      <fill>
        <patternFill>
          <bgColor theme="1"/>
        </patternFill>
      </fill>
    </dxf>
    <dxf>
      <font>
        <color theme="1"/>
      </font>
      <fill>
        <patternFill>
          <bgColor theme="1"/>
        </patternFill>
      </fill>
    </dxf>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FF00FF"/>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421452</xdr:colOff>
      <xdr:row>9</xdr:row>
      <xdr:rowOff>150497</xdr:rowOff>
    </xdr:from>
    <xdr:to>
      <xdr:col>16</xdr:col>
      <xdr:colOff>311410</xdr:colOff>
      <xdr:row>17</xdr:row>
      <xdr:rowOff>205741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0089327" y="2531747"/>
          <a:ext cx="4690558" cy="2950844"/>
          <a:chOff x="9368118" y="1289315"/>
          <a:chExt cx="4677851" cy="2129554"/>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72407" y="1289315"/>
            <a:ext cx="4673562" cy="212955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このファイルを機構が案内している指定の掲載先からダウンロードしたことをご確認のうえ、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9</xdr:col>
      <xdr:colOff>192405</xdr:colOff>
      <xdr:row>39</xdr:row>
      <xdr:rowOff>211455</xdr:rowOff>
    </xdr:from>
    <xdr:to>
      <xdr:col>18</xdr:col>
      <xdr:colOff>443866</xdr:colOff>
      <xdr:row>43</xdr:row>
      <xdr:rowOff>47625</xdr:rowOff>
    </xdr:to>
    <xdr:grpSp>
      <xdr:nvGrpSpPr>
        <xdr:cNvPr id="10" name="グループ化 9">
          <a:extLst>
            <a:ext uri="{FF2B5EF4-FFF2-40B4-BE49-F238E27FC236}">
              <a16:creationId xmlns:a16="http://schemas.microsoft.com/office/drawing/2014/main" id="{249220B5-D8B1-7909-AC12-3F87D7038E27}"/>
            </a:ext>
          </a:extLst>
        </xdr:cNvPr>
        <xdr:cNvGrpSpPr/>
      </xdr:nvGrpSpPr>
      <xdr:grpSpPr>
        <a:xfrm>
          <a:off x="9860280" y="12689205"/>
          <a:ext cx="6423661" cy="960120"/>
          <a:chOff x="9886950" y="8010525"/>
          <a:chExt cx="5743576" cy="948690"/>
        </a:xfrm>
      </xdr:grpSpPr>
      <xdr:sp macro="" textlink="">
        <xdr:nvSpPr>
          <xdr:cNvPr id="8" name="テキスト ボックス 7">
            <a:extLst>
              <a:ext uri="{FF2B5EF4-FFF2-40B4-BE49-F238E27FC236}">
                <a16:creationId xmlns:a16="http://schemas.microsoft.com/office/drawing/2014/main" id="{AF63A60D-3D79-4C36-A5D5-806E49503C6A}"/>
              </a:ext>
            </a:extLst>
          </xdr:cNvPr>
          <xdr:cNvSpPr txBox="1"/>
        </xdr:nvSpPr>
        <xdr:spPr>
          <a:xfrm>
            <a:off x="10679768" y="8010525"/>
            <a:ext cx="4950758" cy="948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00FF"/>
                </a:solidFill>
              </a:rPr>
              <a:t>＜家計基準が適格となる種別＞</a:t>
            </a:r>
            <a:endParaRPr kumimoji="1" lang="en-US" altLang="ja-JP" sz="1600" b="1">
              <a:solidFill>
                <a:srgbClr val="0000FF"/>
              </a:solidFill>
            </a:endParaRPr>
          </a:p>
          <a:p>
            <a:r>
              <a:rPr kumimoji="1" lang="ja-JP" altLang="en-US" sz="1600" b="1">
                <a:solidFill>
                  <a:srgbClr val="0000FF"/>
                </a:solidFill>
              </a:rPr>
              <a:t>「第二種奨学金の家計基準に適格」：家計基準内です。</a:t>
            </a:r>
            <a:endParaRPr kumimoji="1" lang="en-US" altLang="ja-JP" sz="1600" b="1">
              <a:solidFill>
                <a:srgbClr val="0000FF"/>
              </a:solidFill>
            </a:endParaRPr>
          </a:p>
          <a:p>
            <a:r>
              <a:rPr kumimoji="1" lang="ja-JP" altLang="en-US" sz="1600" b="1">
                <a:solidFill>
                  <a:srgbClr val="0000FF"/>
                </a:solidFill>
              </a:rPr>
              <a:t>「家計基準不適格」：家計基準外です。</a:t>
            </a:r>
            <a:endParaRPr kumimoji="1" lang="en-US" altLang="ja-JP" sz="1600" b="1">
              <a:solidFill>
                <a:srgbClr val="0000FF"/>
              </a:solidFill>
            </a:endParaRPr>
          </a:p>
          <a:p>
            <a:endParaRPr kumimoji="1" lang="ja-JP" altLang="en-US" sz="1600" b="1">
              <a:solidFill>
                <a:srgbClr val="0000FF"/>
              </a:solidFill>
            </a:endParaRPr>
          </a:p>
        </xdr:txBody>
      </xdr:sp>
      <xdr:sp macro="" textlink="">
        <xdr:nvSpPr>
          <xdr:cNvPr id="9" name="矢印: 下 8">
            <a:extLst>
              <a:ext uri="{FF2B5EF4-FFF2-40B4-BE49-F238E27FC236}">
                <a16:creationId xmlns:a16="http://schemas.microsoft.com/office/drawing/2014/main" id="{4DCA78B7-064D-42A5-AF17-D04410F051B6}"/>
              </a:ext>
            </a:extLst>
          </xdr:cNvPr>
          <xdr:cNvSpPr/>
        </xdr:nvSpPr>
        <xdr:spPr>
          <a:xfrm rot="5400000">
            <a:off x="10203180" y="8166735"/>
            <a:ext cx="186690" cy="819150"/>
          </a:xfrm>
          <a:prstGeom prst="downArrow">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grpSp>
    <xdr:clientData/>
  </xdr:twoCellAnchor>
  <xdr:twoCellAnchor>
    <xdr:from>
      <xdr:col>9</xdr:col>
      <xdr:colOff>483870</xdr:colOff>
      <xdr:row>0</xdr:row>
      <xdr:rowOff>152400</xdr:rowOff>
    </xdr:from>
    <xdr:to>
      <xdr:col>20</xdr:col>
      <xdr:colOff>142875</xdr:colOff>
      <xdr:row>6</xdr:row>
      <xdr:rowOff>135255</xdr:rowOff>
    </xdr:to>
    <xdr:sp macro="" textlink="">
      <xdr:nvSpPr>
        <xdr:cNvPr id="11" name="テキスト ボックス 10">
          <a:extLst>
            <a:ext uri="{FF2B5EF4-FFF2-40B4-BE49-F238E27FC236}">
              <a16:creationId xmlns:a16="http://schemas.microsoft.com/office/drawing/2014/main" id="{C85801E9-F68C-416D-B642-7A2E52781518}"/>
            </a:ext>
          </a:extLst>
        </xdr:cNvPr>
        <xdr:cNvSpPr txBox="1"/>
      </xdr:nvSpPr>
      <xdr:spPr>
        <a:xfrm>
          <a:off x="9151620" y="152400"/>
          <a:ext cx="6364605" cy="1354455"/>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家計基準の判定は、応募者の在籍大学等が行います。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本ツールは、本制度への応募を目的とした使用に限ります。使用は在籍大学等内限りとし、目的外の使用、応募者やその保護者及び第三者への再配布、大学等</a:t>
          </a:r>
          <a:r>
            <a:rPr kumimoji="1" lang="en-US" altLang="ja-JP" sz="1100" b="1">
              <a:latin typeface="BIZ UDPゴシック" panose="020B0400000000000000" pitchFamily="50" charset="-128"/>
              <a:ea typeface="BIZ UDPゴシック" panose="020B0400000000000000" pitchFamily="50" charset="-128"/>
            </a:rPr>
            <a:t>HP</a:t>
          </a:r>
          <a:r>
            <a:rPr kumimoji="1" lang="ja-JP" altLang="en-US" sz="1100" b="1">
              <a:latin typeface="BIZ UDPゴシック" panose="020B0400000000000000" pitchFamily="50" charset="-128"/>
              <a:ea typeface="BIZ UDPゴシック" panose="020B0400000000000000" pitchFamily="50" charset="-128"/>
            </a:rPr>
            <a:t>への掲載等は認められません。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902970</xdr:colOff>
      <xdr:row>9</xdr:row>
      <xdr:rowOff>38100</xdr:rowOff>
    </xdr:from>
    <xdr:to>
      <xdr:col>7</xdr:col>
      <xdr:colOff>321945</xdr:colOff>
      <xdr:row>9</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7065645" y="2447925"/>
          <a:ext cx="952500" cy="285750"/>
        </a:xfrm>
        <a:prstGeom prst="borderCallout1">
          <a:avLst>
            <a:gd name="adj1" fmla="val 48380"/>
            <a:gd name="adj2" fmla="val 4288"/>
            <a:gd name="adj3" fmla="val 129906"/>
            <a:gd name="adj4" fmla="val -28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l"/>
          <a:r>
            <a:rPr kumimoji="1" lang="ja-JP" altLang="en-US" sz="800">
              <a:solidFill>
                <a:sysClr val="windowText" lastClr="000000"/>
              </a:solidFill>
            </a:rPr>
            <a:t>生計維持者が１人の場合に表示</a:t>
          </a:r>
        </a:p>
      </xdr:txBody>
    </xdr:sp>
    <xdr:clientData/>
  </xdr:two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(6)</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(5)</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(7)</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(8)</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(9)</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1847850</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286125" y="8639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1847850</xdr:colOff>
      <xdr:row>29</xdr:row>
      <xdr:rowOff>28575</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3286125" y="8963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1838325</xdr:colOff>
      <xdr:row>31</xdr:row>
      <xdr:rowOff>28575</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3276600" y="96488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l"/>
          <a:r>
            <a:rPr kumimoji="1" lang="ja-JP" altLang="en-US" sz="800">
              <a:solidFill>
                <a:sysClr val="windowText" lastClr="000000"/>
              </a:solidFill>
            </a:rPr>
            <a:t>生計維持者が２人の場合に表示</a:t>
          </a:r>
        </a:p>
      </xdr:txBody>
    </xdr:sp>
    <xdr:clientData/>
  </xdr:twoCellAnchor>
  <xdr:twoCellAnchor>
    <xdr:from>
      <xdr:col>10</xdr:col>
      <xdr:colOff>55246</xdr:colOff>
      <xdr:row>11</xdr:row>
      <xdr:rowOff>58273</xdr:rowOff>
    </xdr:from>
    <xdr:to>
      <xdr:col>19</xdr:col>
      <xdr:colOff>130913</xdr:colOff>
      <xdr:row>25</xdr:row>
      <xdr:rowOff>17145</xdr:rowOff>
    </xdr:to>
    <xdr:grpSp>
      <xdr:nvGrpSpPr>
        <xdr:cNvPr id="5" name="グループ化 4">
          <a:extLst>
            <a:ext uri="{FF2B5EF4-FFF2-40B4-BE49-F238E27FC236}">
              <a16:creationId xmlns:a16="http://schemas.microsoft.com/office/drawing/2014/main" id="{B000B773-1466-573A-D734-BB1EA46996B5}"/>
            </a:ext>
          </a:extLst>
        </xdr:cNvPr>
        <xdr:cNvGrpSpPr/>
      </xdr:nvGrpSpPr>
      <xdr:grpSpPr>
        <a:xfrm>
          <a:off x="10056496" y="3134848"/>
          <a:ext cx="7190842" cy="4559447"/>
          <a:chOff x="8749665" y="2630023"/>
          <a:chExt cx="6498974" cy="4628027"/>
        </a:xfrm>
      </xdr:grpSpPr>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749665" y="2630023"/>
            <a:ext cx="6498974" cy="4628027"/>
          </a:xfrm>
          <a:prstGeom prst="rect">
            <a:avLst/>
          </a:prstGeom>
          <a:ln>
            <a:solidFill>
              <a:sysClr val="windowText" lastClr="000000"/>
            </a:solidFill>
          </a:ln>
        </xdr:spPr>
      </xdr:pic>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673235" y="341204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(6)</a:t>
            </a:r>
            <a:endParaRPr kumimoji="1" lang="ja-JP" altLang="en-US" sz="900" b="1">
              <a:solidFill>
                <a:srgbClr val="FF0000"/>
              </a:solidFill>
            </a:endParaRPr>
          </a:p>
        </xdr:txBody>
      </xdr:sp>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1149965" y="4773930"/>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endParaRPr kumimoji="1" lang="ja-JP" altLang="en-US" sz="900" b="1">
              <a:solidFill>
                <a:srgbClr val="FF0000"/>
              </a:solidFill>
            </a:endParaRPr>
          </a:p>
        </xdr:txBody>
      </xdr:sp>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4113681" y="307631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(9)</a:t>
            </a:r>
            <a:endParaRPr kumimoji="1" lang="ja-JP" altLang="en-US" sz="900" b="1">
              <a:solidFill>
                <a:srgbClr val="FF0000"/>
              </a:solidFill>
            </a:endParaRPr>
          </a:p>
        </xdr:txBody>
      </xdr:sp>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590966" y="57138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2887325" y="364998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1222355" y="3977640"/>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(16)</a:t>
            </a:r>
            <a:endParaRPr kumimoji="1" lang="ja-JP" altLang="en-US" sz="900" b="1">
              <a:solidFill>
                <a:srgbClr val="FF0000"/>
              </a:solidFill>
            </a:endParaRPr>
          </a:p>
        </xdr:txBody>
      </xdr:sp>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2049125" y="58178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2060555" y="60845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3926983" y="394277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3333095" y="674370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grpSp>
    <xdr:clientData/>
  </xdr:twoCellAnchor>
  <xdr:oneCellAnchor>
    <xdr:from>
      <xdr:col>6</xdr:col>
      <xdr:colOff>118222</xdr:colOff>
      <xdr:row>40</xdr:row>
      <xdr:rowOff>68357</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276975" y="1249343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twoCellAnchor>
    <xdr:from>
      <xdr:col>6</xdr:col>
      <xdr:colOff>1314450</xdr:colOff>
      <xdr:row>0</xdr:row>
      <xdr:rowOff>161925</xdr:rowOff>
    </xdr:from>
    <xdr:to>
      <xdr:col>9</xdr:col>
      <xdr:colOff>487456</xdr:colOff>
      <xdr:row>2</xdr:row>
      <xdr:rowOff>48857</xdr:rowOff>
    </xdr:to>
    <xdr:sp macro="" textlink="">
      <xdr:nvSpPr>
        <xdr:cNvPr id="4" name="テキスト ボックス 3">
          <a:extLst>
            <a:ext uri="{FF2B5EF4-FFF2-40B4-BE49-F238E27FC236}">
              <a16:creationId xmlns:a16="http://schemas.microsoft.com/office/drawing/2014/main" id="{E966C332-E221-47B4-9C07-E1BA2D3B8303}"/>
            </a:ext>
          </a:extLst>
        </xdr:cNvPr>
        <xdr:cNvSpPr txBox="1"/>
      </xdr:nvSpPr>
      <xdr:spPr>
        <a:xfrm>
          <a:off x="7258050" y="161925"/>
          <a:ext cx="1630456" cy="601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入力例</a:t>
          </a:r>
          <a:r>
            <a:rPr kumimoji="1" lang="en-US" altLang="ja-JP" sz="2000">
              <a:solidFill>
                <a:srgbClr val="FF0000"/>
              </a:solidFill>
            </a:rPr>
            <a:t>】</a:t>
          </a:r>
          <a:endParaRPr kumimoji="1" lang="ja-JP" altLang="en-US" sz="2000">
            <a:solidFill>
              <a:srgbClr val="FF0000"/>
            </a:solidFill>
          </a:endParaRPr>
        </a:p>
      </xdr:txBody>
    </xdr:sp>
    <xdr:clientData/>
  </xdr:twoCellAnchor>
  <xdr:oneCellAnchor>
    <xdr:from>
      <xdr:col>5</xdr:col>
      <xdr:colOff>1461247</xdr:colOff>
      <xdr:row>6</xdr:row>
      <xdr:rowOff>340661</xdr:rowOff>
    </xdr:from>
    <xdr:ext cx="266700" cy="276225"/>
    <xdr:sp macro="" textlink="">
      <xdr:nvSpPr>
        <xdr:cNvPr id="3" name="テキスト ボックス 2">
          <a:extLst>
            <a:ext uri="{FF2B5EF4-FFF2-40B4-BE49-F238E27FC236}">
              <a16:creationId xmlns:a16="http://schemas.microsoft.com/office/drawing/2014/main" id="{D4388454-CDFC-49AA-80C5-FD9837088FE8}"/>
            </a:ext>
          </a:extLst>
        </xdr:cNvPr>
        <xdr:cNvSpPr txBox="1"/>
      </xdr:nvSpPr>
      <xdr:spPr>
        <a:xfrm>
          <a:off x="6087035" y="1676402"/>
          <a:ext cx="266700" cy="276225"/>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(4)</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sso.go.jp/shogakukin/about/kyufu/kakei/seikei_izisha.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43"/>
  <sheetViews>
    <sheetView showGridLines="0" tabSelected="1" view="pageBreakPreview" topLeftCell="A4" zoomScaleNormal="100" zoomScaleSheetLayoutView="100" workbookViewId="0">
      <selection activeCell="E11" sqref="E11"/>
    </sheetView>
  </sheetViews>
  <sheetFormatPr defaultRowHeight="13.5" x14ac:dyDescent="0.15"/>
  <cols>
    <col min="1" max="1" width="6.5" customWidth="1"/>
    <col min="2" max="2" width="7.125" customWidth="1"/>
    <col min="4" max="4" width="24.25" customWidth="1"/>
    <col min="5" max="7" width="22.375" customWidth="1"/>
    <col min="8" max="8" width="3.875" customWidth="1"/>
  </cols>
  <sheetData>
    <row r="1" spans="1:9" ht="46.9" customHeight="1" x14ac:dyDescent="0.15">
      <c r="B1" s="146" t="s">
        <v>224</v>
      </c>
      <c r="C1" s="146"/>
      <c r="D1" s="146"/>
      <c r="E1" s="146"/>
      <c r="F1" s="146"/>
      <c r="G1" s="146"/>
      <c r="I1" s="109">
        <f>MAX(修正履歴!A:A)</f>
        <v>45717</v>
      </c>
    </row>
    <row r="2" spans="1:9" x14ac:dyDescent="0.15">
      <c r="A2" s="58"/>
      <c r="B2" s="58" t="s">
        <v>182</v>
      </c>
      <c r="G2" s="15"/>
    </row>
    <row r="3" spans="1:9" x14ac:dyDescent="0.15">
      <c r="A3" s="58"/>
      <c r="B3" s="58" t="s">
        <v>225</v>
      </c>
      <c r="G3" s="15"/>
    </row>
    <row r="4" spans="1:9" x14ac:dyDescent="0.15">
      <c r="A4" s="58"/>
      <c r="B4" s="58" t="s">
        <v>183</v>
      </c>
      <c r="G4" s="15"/>
    </row>
    <row r="5" spans="1:9" ht="8.25" customHeight="1" x14ac:dyDescent="0.15">
      <c r="G5" s="15"/>
    </row>
    <row r="6" spans="1:9" x14ac:dyDescent="0.15">
      <c r="B6" s="34" t="s">
        <v>86</v>
      </c>
      <c r="G6" s="15"/>
    </row>
    <row r="7" spans="1:9" ht="24.75" customHeight="1" thickBot="1" x14ac:dyDescent="0.2">
      <c r="B7" s="110" t="s">
        <v>184</v>
      </c>
      <c r="F7" s="70"/>
      <c r="G7" s="71"/>
    </row>
    <row r="8" spans="1:9" ht="27" customHeight="1" x14ac:dyDescent="0.15">
      <c r="B8" s="166" t="s">
        <v>138</v>
      </c>
      <c r="C8" s="167"/>
      <c r="D8" s="168"/>
      <c r="E8" s="42">
        <v>2026</v>
      </c>
      <c r="F8" s="72" t="str">
        <f>IF(計算シート!B3&gt;1,"在籍校の設置者を選択してください。","")</f>
        <v>在籍校の設置者を選択してください。</v>
      </c>
      <c r="G8" s="81" t="s">
        <v>157</v>
      </c>
    </row>
    <row r="9" spans="1:9" ht="27" customHeight="1" x14ac:dyDescent="0.15">
      <c r="B9" s="169" t="s">
        <v>88</v>
      </c>
      <c r="C9" s="170"/>
      <c r="D9" s="171"/>
      <c r="E9" s="111" t="s">
        <v>59</v>
      </c>
      <c r="F9" s="73" t="str">
        <f>IF(AND(計算シート!B4&lt;4,計算シート!B3&gt;1,VLOOKUP(G8,リストボックス!AB2:AC3,2,0)=2),"通学形態を選択してください。","")</f>
        <v>通学形態を選択してください。</v>
      </c>
      <c r="G9" s="75" t="s">
        <v>160</v>
      </c>
    </row>
    <row r="10" spans="1:9" ht="27" customHeight="1" x14ac:dyDescent="0.15">
      <c r="B10" s="169" t="str">
        <f>"申請した奨学金の種別"&amp;IF(計算シート!$B$46=1,"※","")</f>
        <v>申請した奨学金の種別</v>
      </c>
      <c r="C10" s="170"/>
      <c r="D10" s="171"/>
      <c r="E10" s="112" t="s">
        <v>115</v>
      </c>
      <c r="F10" s="74" t="str">
        <f>IF(計算シート!B4=3,"両方を希望した場合の優先順位を選択してください。","")</f>
        <v/>
      </c>
      <c r="G10" s="76" t="s">
        <v>118</v>
      </c>
      <c r="H10" s="12"/>
    </row>
    <row r="11" spans="1:9" ht="27" customHeight="1" x14ac:dyDescent="0.15">
      <c r="B11" s="169" t="s">
        <v>154</v>
      </c>
      <c r="C11" s="170"/>
      <c r="D11" s="171"/>
      <c r="E11" s="80">
        <v>2</v>
      </c>
      <c r="F11" s="74" t="str">
        <f>IF(計算シート!B2=2,"生計維持者１の続柄を選択してください。","")</f>
        <v/>
      </c>
      <c r="G11" s="77" t="s">
        <v>128</v>
      </c>
    </row>
    <row r="12" spans="1:9" ht="27" customHeight="1" x14ac:dyDescent="0.15">
      <c r="B12" s="174" t="s">
        <v>147</v>
      </c>
      <c r="C12" s="175"/>
      <c r="D12" s="176"/>
      <c r="E12" s="98"/>
      <c r="F12" s="73" t="str">
        <f>IF(AND(計算シート!B4=4,計算シート!B2&lt;3),"申込者/奨学生は生計維持者に扶養されていますか。","")</f>
        <v/>
      </c>
      <c r="G12" s="78" t="s">
        <v>150</v>
      </c>
    </row>
    <row r="13" spans="1:9" ht="27" customHeight="1" thickBot="1" x14ac:dyDescent="0.2">
      <c r="B13" s="177" t="str">
        <f>IF(計算シート!$B$46=1,"大学院の課程","")</f>
        <v/>
      </c>
      <c r="C13" s="178"/>
      <c r="D13" s="178"/>
      <c r="E13" s="97" t="s">
        <v>174</v>
      </c>
      <c r="F13" s="96" t="str">
        <f>IF(AND(計算シート!B4=4,計算シート!B3&gt;1,VLOOKUP(G8,リストボックス!AB2:AC3,2,0)=2),"在籍している学科等は理工農系の分野ですか。","")</f>
        <v/>
      </c>
      <c r="G13" s="79" t="s">
        <v>140</v>
      </c>
    </row>
    <row r="14" spans="1:9" ht="16.5" customHeight="1" x14ac:dyDescent="0.15">
      <c r="B14" s="35" t="s">
        <v>89</v>
      </c>
      <c r="C14" s="16"/>
      <c r="D14" s="95" t="str">
        <f>IF(計算シート!$B$46=1,"※大学院段階における授業料後払い制度は、第一種奨学金に含みます。","")</f>
        <v/>
      </c>
      <c r="E14" s="16"/>
    </row>
    <row r="15" spans="1:9" ht="24" customHeight="1" x14ac:dyDescent="0.15">
      <c r="B15" s="113" t="s">
        <v>90</v>
      </c>
      <c r="C15" s="16"/>
      <c r="D15" s="16"/>
      <c r="E15" s="16"/>
    </row>
    <row r="16" spans="1:9" ht="24" customHeight="1" thickBot="1" x14ac:dyDescent="0.2">
      <c r="B16" s="21"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課税証明書(所得証明書)は、2025年度[2024年分]のものを用意してください。</v>
      </c>
      <c r="C16" s="16"/>
      <c r="D16" s="16"/>
      <c r="E16" s="16"/>
    </row>
    <row r="17" spans="2:7" ht="55.5" customHeight="1" thickBot="1" x14ac:dyDescent="0.2">
      <c r="B17" s="17" t="s">
        <v>34</v>
      </c>
      <c r="C17" s="172" t="s">
        <v>31</v>
      </c>
      <c r="D17" s="173"/>
      <c r="E17" s="18" t="str">
        <f>IF(計算シート!$B$46=0,"生計維持者１","申込者本人")</f>
        <v>生計維持者１</v>
      </c>
      <c r="F17" s="19" t="str">
        <f>IF(計算シート!$B$46=0,"生計維持者２","配偶者
※いない場合入力不要")</f>
        <v>生計維持者２</v>
      </c>
      <c r="G17" s="20" t="s">
        <v>11</v>
      </c>
    </row>
    <row r="18" spans="2:7" ht="27" customHeight="1" thickTop="1" x14ac:dyDescent="0.15">
      <c r="B18" s="14" t="s">
        <v>36</v>
      </c>
      <c r="C18" s="150" t="s">
        <v>75</v>
      </c>
      <c r="D18" s="151"/>
      <c r="E18" s="28"/>
      <c r="F18" s="28"/>
      <c r="G18" s="30"/>
    </row>
    <row r="19" spans="2:7" ht="27" customHeight="1" x14ac:dyDescent="0.15">
      <c r="B19" s="2" t="s">
        <v>37</v>
      </c>
      <c r="C19" s="156" t="s">
        <v>4</v>
      </c>
      <c r="D19" s="10" t="s">
        <v>17</v>
      </c>
      <c r="E19" s="22" t="s">
        <v>65</v>
      </c>
      <c r="F19" s="23" t="s">
        <v>69</v>
      </c>
      <c r="G19" s="24" t="s">
        <v>65</v>
      </c>
    </row>
    <row r="20" spans="2:7" ht="27" customHeight="1" x14ac:dyDescent="0.15">
      <c r="B20" s="2" t="s">
        <v>38</v>
      </c>
      <c r="C20" s="156"/>
      <c r="D20" s="39" t="str">
        <f>"控除対象寡婦"&amp;IF(計算シート!B27=1,"・ひとり親","（寡夫）")</f>
        <v>控除対象寡婦・ひとり親</v>
      </c>
      <c r="E20" s="22" t="s">
        <v>65</v>
      </c>
      <c r="F20" s="23" t="s">
        <v>65</v>
      </c>
      <c r="G20" s="24" t="s">
        <v>65</v>
      </c>
    </row>
    <row r="21" spans="2:7" ht="27" customHeight="1" x14ac:dyDescent="0.15">
      <c r="B21" s="2" t="s">
        <v>39</v>
      </c>
      <c r="C21" s="154" t="s">
        <v>5</v>
      </c>
      <c r="D21" s="155"/>
      <c r="E21" s="31"/>
      <c r="F21" s="32"/>
      <c r="G21" s="33"/>
    </row>
    <row r="22" spans="2:7" ht="27" customHeight="1" x14ac:dyDescent="0.15">
      <c r="B22" s="2" t="s">
        <v>40</v>
      </c>
      <c r="C22" s="156" t="str">
        <f>IF(E8="","----年-月-日",TEXT(計算シート!B8,"yyyy年m月d日"))&amp;"時点の生活保護法の
生活扶助の受給"</f>
        <v>2025年1月1日時点の生活保護法の
生活扶助の受給</v>
      </c>
      <c r="D22" s="165"/>
      <c r="E22" s="22" t="s">
        <v>61</v>
      </c>
      <c r="F22" s="23" t="s">
        <v>61</v>
      </c>
      <c r="G22" s="24" t="s">
        <v>61</v>
      </c>
    </row>
    <row r="23" spans="2:7" ht="27" customHeight="1" x14ac:dyDescent="0.15">
      <c r="B23" s="2" t="s">
        <v>42</v>
      </c>
      <c r="C23" s="150" t="s">
        <v>76</v>
      </c>
      <c r="D23" s="151"/>
      <c r="E23" s="28"/>
      <c r="F23" s="29"/>
      <c r="G23" s="30"/>
    </row>
    <row r="24" spans="2:7" ht="27" customHeight="1" x14ac:dyDescent="0.15">
      <c r="B24" s="2" t="s">
        <v>44</v>
      </c>
      <c r="C24" s="150" t="s">
        <v>2</v>
      </c>
      <c r="D24" s="151"/>
      <c r="E24" s="22" t="s">
        <v>65</v>
      </c>
      <c r="F24" s="23" t="s">
        <v>65</v>
      </c>
      <c r="G24" s="24" t="s">
        <v>65</v>
      </c>
    </row>
    <row r="25" spans="2:7" ht="27" customHeight="1" x14ac:dyDescent="0.15">
      <c r="B25" s="2" t="s">
        <v>45</v>
      </c>
      <c r="C25" s="156" t="s">
        <v>3</v>
      </c>
      <c r="D25" s="10" t="s">
        <v>77</v>
      </c>
      <c r="E25" s="25"/>
      <c r="F25" s="26"/>
      <c r="G25" s="27"/>
    </row>
    <row r="26" spans="2:7" ht="27" customHeight="1" x14ac:dyDescent="0.15">
      <c r="B26" s="2" t="s">
        <v>46</v>
      </c>
      <c r="C26" s="156"/>
      <c r="D26" s="10" t="s">
        <v>78</v>
      </c>
      <c r="E26" s="25"/>
      <c r="F26" s="26"/>
      <c r="G26" s="27"/>
    </row>
    <row r="27" spans="2:7" ht="27" customHeight="1" x14ac:dyDescent="0.15">
      <c r="B27" s="2" t="s">
        <v>47</v>
      </c>
      <c r="C27" s="156"/>
      <c r="D27" s="10" t="s">
        <v>79</v>
      </c>
      <c r="E27" s="25"/>
      <c r="F27" s="26"/>
      <c r="G27" s="27"/>
    </row>
    <row r="28" spans="2:7" ht="27" customHeight="1" x14ac:dyDescent="0.15">
      <c r="B28" s="2" t="s">
        <v>48</v>
      </c>
      <c r="C28" s="150" t="s">
        <v>80</v>
      </c>
      <c r="D28" s="151"/>
      <c r="E28" s="25"/>
      <c r="F28" s="26"/>
      <c r="G28" s="27"/>
    </row>
    <row r="29" spans="2:7" ht="27" customHeight="1" x14ac:dyDescent="0.15">
      <c r="B29" s="2" t="s">
        <v>51</v>
      </c>
      <c r="C29" s="150" t="s">
        <v>81</v>
      </c>
      <c r="D29" s="151"/>
      <c r="E29" s="28"/>
      <c r="F29" s="28"/>
      <c r="G29" s="30"/>
    </row>
    <row r="30" spans="2:7" ht="27" customHeight="1" x14ac:dyDescent="0.15">
      <c r="B30" s="2" t="s">
        <v>52</v>
      </c>
      <c r="C30" s="150" t="s">
        <v>82</v>
      </c>
      <c r="D30" s="151"/>
      <c r="E30" s="28"/>
      <c r="F30" s="28"/>
      <c r="G30" s="30"/>
    </row>
    <row r="31" spans="2:7" ht="27" customHeight="1" x14ac:dyDescent="0.15">
      <c r="B31" s="2" t="s">
        <v>53</v>
      </c>
      <c r="C31" s="150" t="s">
        <v>131</v>
      </c>
      <c r="D31" s="151"/>
      <c r="E31" s="28"/>
      <c r="F31" s="28"/>
      <c r="G31" s="30"/>
    </row>
    <row r="32" spans="2:7" ht="27" customHeight="1" x14ac:dyDescent="0.15">
      <c r="B32" s="2" t="s">
        <v>54</v>
      </c>
      <c r="C32" s="150" t="s">
        <v>7</v>
      </c>
      <c r="D32" s="151"/>
      <c r="E32" s="22" t="s">
        <v>63</v>
      </c>
      <c r="F32" s="23" t="s">
        <v>63</v>
      </c>
      <c r="G32" s="24" t="s">
        <v>63</v>
      </c>
    </row>
    <row r="33" spans="1:8" ht="27" hidden="1" customHeight="1" thickBot="1" x14ac:dyDescent="0.2">
      <c r="B33" s="45">
        <v>4</v>
      </c>
      <c r="C33" s="158" t="s">
        <v>106</v>
      </c>
      <c r="D33" s="159"/>
      <c r="E33" s="46"/>
      <c r="F33" s="47"/>
      <c r="G33" s="48"/>
    </row>
    <row r="34" spans="1:8" ht="27" customHeight="1" x14ac:dyDescent="0.15">
      <c r="B34" s="44" t="s">
        <v>41</v>
      </c>
      <c r="C34" s="157" t="s">
        <v>35</v>
      </c>
      <c r="D34" s="155"/>
      <c r="E34" s="8">
        <f>計算シート!B20</f>
        <v>0</v>
      </c>
      <c r="F34" s="5">
        <f>計算シート!C20</f>
        <v>1350000</v>
      </c>
      <c r="G34" s="6">
        <f>計算シート!D20</f>
        <v>0</v>
      </c>
    </row>
    <row r="35" spans="1:8" ht="27" customHeight="1" x14ac:dyDescent="0.15">
      <c r="B35" s="2" t="s">
        <v>43</v>
      </c>
      <c r="C35" s="154" t="s">
        <v>83</v>
      </c>
      <c r="D35" s="155"/>
      <c r="E35" s="8">
        <f>計算シート!B13</f>
        <v>0</v>
      </c>
      <c r="F35" s="5">
        <f>計算シート!C13</f>
        <v>0</v>
      </c>
      <c r="G35" s="6">
        <f>計算シート!D13</f>
        <v>0</v>
      </c>
    </row>
    <row r="36" spans="1:8" ht="27" customHeight="1" x14ac:dyDescent="0.15">
      <c r="B36" s="2" t="s">
        <v>49</v>
      </c>
      <c r="C36" s="150" t="s">
        <v>84</v>
      </c>
      <c r="D36" s="151"/>
      <c r="E36" s="11">
        <f>計算シート!B15</f>
        <v>0</v>
      </c>
      <c r="F36" s="11">
        <f>計算シート!C15</f>
        <v>0</v>
      </c>
      <c r="G36" s="13">
        <f>計算シート!D15</f>
        <v>0</v>
      </c>
      <c r="H36" s="12"/>
    </row>
    <row r="37" spans="1:8" ht="27" customHeight="1" x14ac:dyDescent="0.15">
      <c r="B37" s="2" t="s">
        <v>50</v>
      </c>
      <c r="C37" s="156" t="s">
        <v>85</v>
      </c>
      <c r="D37" s="151"/>
      <c r="E37" s="9">
        <f>計算シート!B16</f>
        <v>450000</v>
      </c>
      <c r="F37" s="3">
        <f>計算シート!C16</f>
        <v>450000</v>
      </c>
      <c r="G37" s="4">
        <f>計算シート!D16</f>
        <v>450000</v>
      </c>
    </row>
    <row r="38" spans="1:8" ht="27" customHeight="1" x14ac:dyDescent="0.15">
      <c r="B38" s="2" t="s">
        <v>55</v>
      </c>
      <c r="C38" s="150" t="str">
        <f>IF(計算シート!B4&lt;4,"貸与額算定基準額（円）","支給額算定基準額（円）")</f>
        <v>貸与額算定基準額（円）</v>
      </c>
      <c r="D38" s="151"/>
      <c r="E38" s="50">
        <f>IF(計算シート!B4&lt;4,計算シート!B33,計算シート!B34)</f>
        <v>0</v>
      </c>
      <c r="F38" s="3">
        <f>IF(計算シート!B4&lt;4,計算シート!C33,計算シート!C34)</f>
        <v>0</v>
      </c>
      <c r="G38" s="4">
        <f>IF(計算シート!B4&lt;4,計算シート!D26,計算シート!D25)</f>
        <v>0</v>
      </c>
    </row>
    <row r="39" spans="1:8" ht="27" customHeight="1" thickBot="1" x14ac:dyDescent="0.2">
      <c r="B39" s="43">
        <v>4</v>
      </c>
      <c r="C39" s="160" t="str">
        <f>IF(計算シート!B4&lt;4,"世帯の貸与額算定基準額（円）","世帯の支給額算定基準額（円）")</f>
        <v>世帯の貸与額算定基準額（円）</v>
      </c>
      <c r="D39" s="161"/>
      <c r="E39" s="162">
        <f>IF(計算シート!B4&lt;4,計算シート!B39,SUM(計算シート!B34:C34,計算シート!D25))</f>
        <v>0</v>
      </c>
      <c r="F39" s="163"/>
      <c r="G39" s="164"/>
    </row>
    <row r="40" spans="1:8" ht="27" customHeight="1" thickTop="1" thickBot="1" x14ac:dyDescent="0.2">
      <c r="A40" s="49"/>
      <c r="B40" s="102"/>
      <c r="C40" s="152" t="str">
        <f>IF(計算シート!B4&lt;4,"家計基準が適格となる種別","支援区分")</f>
        <v>家計基準が適格となる種別</v>
      </c>
      <c r="D40" s="153"/>
      <c r="E40" s="147" t="str">
        <f>IF(計算シート!B4&lt;4,計算シート!B43,計算シート!B44&amp;計算シート!B45&amp;計算シート!B52)</f>
        <v>第二種奨学金の家計基準に適格</v>
      </c>
      <c r="F40" s="148"/>
      <c r="G40" s="149"/>
      <c r="H40" s="103"/>
    </row>
    <row r="41" spans="1:8" ht="14.25" thickBot="1" x14ac:dyDescent="0.2">
      <c r="A41" s="49"/>
      <c r="B41" s="49"/>
      <c r="C41" s="49"/>
      <c r="D41" s="104"/>
      <c r="E41" s="105" t="str">
        <f>IFERROR(IF(計算シート!B46=1,IF(計算シート!B4=1,IF(計算シート!B47=1,"",""&amp;IF(計算シート!B48=1,"△： この貸与額算定基準額は第一種奨学金の基準に適格となる場合があります。","")),IF(計算シート!B4=2,IF(計算シート!B49=1,"",""),IF(計算シート!B4=3,IF(計算シート!B50=1,"",IF(計算シート!B5=1,IF(計算シート!B47=1,"",IF(計算シート!B49=1,""&amp;IF(計算シート!B48=1,"△： この貸与額算定基準額は第一種奨学金の基準に適格となる場合があります。",""),"")),IF(計算シート!B49=1,"",""))),""))),""),"")</f>
        <v/>
      </c>
      <c r="F41" s="49"/>
      <c r="G41" s="115"/>
      <c r="H41" s="49"/>
    </row>
    <row r="42" spans="1:8" ht="33.6" customHeight="1" thickTop="1" thickBot="1" x14ac:dyDescent="0.2">
      <c r="A42" s="101"/>
      <c r="B42" s="49"/>
      <c r="C42" s="49"/>
      <c r="D42" s="49"/>
      <c r="E42" s="114"/>
      <c r="F42" s="117" t="s">
        <v>185</v>
      </c>
      <c r="G42" s="116" t="str">
        <f>IF(E40="第二種奨学金の家計基準に適格","家計基準内","家計基準外")</f>
        <v>家計基準内</v>
      </c>
      <c r="H42" s="49"/>
    </row>
    <row r="43" spans="1:8" ht="14.25" thickTop="1" x14ac:dyDescent="0.15"/>
  </sheetData>
  <sheetProtection algorithmName="SHA-512" hashValue="mntt1H0BogBDcZsHfnsD9/OxvAKJxdhbSw9+xqe0d8iOWjxJCSIyA4eOAplsBl7SRdcvEd62CcnlJLvO6isQ9g==" saltValue="U3IWs31+6dCfVdp775TrQg==" spinCount="100000" sheet="1" objects="1" scenarios="1"/>
  <protectedRanges>
    <protectedRange sqref="G11" name="範囲4"/>
    <protectedRange sqref="E8:E12" name="範囲1"/>
    <protectedRange sqref="E18:G33" name="範囲2"/>
    <protectedRange sqref="G8:G9" name="範囲3"/>
  </protectedRanges>
  <mergeCells count="30">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 ref="B1:G1"/>
    <mergeCell ref="E40:G40"/>
    <mergeCell ref="C36:D36"/>
    <mergeCell ref="C29:D29"/>
    <mergeCell ref="C30:D30"/>
    <mergeCell ref="C38:D38"/>
    <mergeCell ref="C40:D40"/>
    <mergeCell ref="C35:D35"/>
    <mergeCell ref="C37:D37"/>
    <mergeCell ref="C32:D32"/>
    <mergeCell ref="C34:D34"/>
    <mergeCell ref="C33:D33"/>
    <mergeCell ref="C39:D39"/>
    <mergeCell ref="E39:G39"/>
    <mergeCell ref="C31:D31"/>
    <mergeCell ref="C24:D24"/>
  </mergeCells>
  <phoneticPr fontId="1"/>
  <conditionalFormatting sqref="F10">
    <cfRule type="expression" dxfId="25" priority="8">
      <formula>"計算シート!B4=3"</formula>
    </cfRule>
  </conditionalFormatting>
  <conditionalFormatting sqref="F11">
    <cfRule type="expression" dxfId="24" priority="7">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3AA87493-00BB-492A-8666-5CA2852DC766}">
            <xm:f>計算シート!$B$46=1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1" id="{DE64FCF5-7D6D-4317-A04F-E83B1863F9FB}">
            <xm:f>計算シート!$B$46=0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6" id="{9D5B0AB0-619C-4DA9-B4AB-C5362A48A103}">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16693939-5631-40E4-8DF6-9BBEC5793151}">
            <xm:f>計算シート!$B$2=3</xm:f>
            <x14:dxf>
              <fill>
                <patternFill>
                  <bgColor theme="1"/>
                </patternFill>
              </fill>
            </x14:dxf>
          </x14:cfRule>
          <xm:sqref>E17:F38</xm:sqref>
        </x14:conditionalFormatting>
        <x14:conditionalFormatting xmlns:xm="http://schemas.microsoft.com/office/excel/2006/main">
          <x14:cfRule type="expression" priority="12"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4"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0"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2" id="{54ACC330-6A35-4911-99A3-4D20E03EFF41}">
            <xm:f>計算シート!$B$2=2</xm:f>
            <x14:dxf>
              <fill>
                <patternFill>
                  <bgColor theme="1"/>
                </patternFill>
              </fill>
            </x14:dxf>
          </x14:cfRule>
          <xm:sqref>F17:F38</xm:sqref>
        </x14:conditionalFormatting>
        <x14:conditionalFormatting xmlns:xm="http://schemas.microsoft.com/office/excel/2006/main">
          <x14:cfRule type="expression" priority="5" id="{7F96F0D0-63B4-4686-856C-EB24914B2668}">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4" id="{69E1FE1E-60CD-4DDC-ADA4-CA3030388C8D}">
            <xm:f>計算シート!$B$46=1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6"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1"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19"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18"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3"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9"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2" id="{63555E55-361E-468A-8A73-18782AAE018F}">
            <xm:f>計算シート!$B$46=1</xm:f>
            <x14:dxf>
              <font>
                <color theme="1"/>
              </font>
              <fill>
                <patternFill>
                  <bgColor theme="1"/>
                </patternFill>
              </fill>
            </x14:dxf>
          </x14:cfRule>
          <xm:sqref>G17:G38</xm:sqref>
        </x14:conditionalFormatting>
        <x14:conditionalFormatting xmlns:xm="http://schemas.microsoft.com/office/excel/2006/main">
          <x14:cfRule type="expression" priority="20" id="{3CF463A4-855B-4A19-A514-96BBC58BCF53}">
            <xm:f>AND(計算シート!$B$4&lt;4,計算シート!$B$2&lt;3)</xm:f>
            <x14:dxf>
              <fill>
                <patternFill>
                  <bgColor theme="1"/>
                </patternFill>
              </fill>
            </x14:dxf>
          </x14:cfRule>
          <xm:sqref>G18:G20 G22:G38</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E32:G32</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IF(VLOOKUP($E$9,リストボックス!$C$1:$D$9,2,0)=5,リストボックス!$O$5,IF(計算シート!$B$46=1,リストボックス!$O$2:$O$4,リストボックス!$O$2:$O$5))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showGridLines="0" view="pageBreakPreview" topLeftCell="C1" zoomScaleNormal="100" zoomScaleSheetLayoutView="100" workbookViewId="0">
      <selection activeCell="H11" sqref="H11"/>
    </sheetView>
  </sheetViews>
  <sheetFormatPr defaultRowHeight="13.5" x14ac:dyDescent="0.15"/>
  <cols>
    <col min="1" max="1" width="1.625" customWidth="1"/>
    <col min="2" max="2" width="7.125" customWidth="1"/>
    <col min="4" max="4" width="27.5" customWidth="1"/>
    <col min="5" max="7" width="22.375" customWidth="1"/>
    <col min="8" max="8" width="13.25" customWidth="1"/>
    <col min="9" max="9" width="0.375" customWidth="1"/>
    <col min="10" max="10" width="5.25" customWidth="1"/>
    <col min="11" max="21" width="10.375" customWidth="1"/>
    <col min="22" max="22" width="11.375" customWidth="1"/>
  </cols>
  <sheetData>
    <row r="1" spans="2:22" ht="36.6" customHeight="1" x14ac:dyDescent="0.15">
      <c r="B1" s="146" t="s">
        <v>224</v>
      </c>
      <c r="C1" s="146"/>
      <c r="D1" s="146"/>
      <c r="E1" s="146"/>
      <c r="F1" s="146"/>
      <c r="G1" s="146"/>
      <c r="H1" s="109">
        <f>MAX(修正履歴!A:A)</f>
        <v>45717</v>
      </c>
      <c r="I1" s="106" t="s">
        <v>91</v>
      </c>
      <c r="J1" s="107"/>
      <c r="N1" s="40" t="s">
        <v>104</v>
      </c>
      <c r="V1" s="109">
        <f>H1</f>
        <v>45717</v>
      </c>
    </row>
    <row r="2" spans="2:22" ht="18.75" x14ac:dyDescent="0.15">
      <c r="B2" s="49" t="s">
        <v>182</v>
      </c>
      <c r="G2" s="15"/>
      <c r="H2" s="38"/>
      <c r="I2" s="107"/>
    </row>
    <row r="3" spans="2:22" x14ac:dyDescent="0.15">
      <c r="B3" s="58" t="s">
        <v>225</v>
      </c>
      <c r="G3" s="15"/>
      <c r="H3" s="15"/>
      <c r="I3" s="107"/>
      <c r="J3" t="s">
        <v>181</v>
      </c>
    </row>
    <row r="4" spans="2:22" x14ac:dyDescent="0.15">
      <c r="B4" t="s">
        <v>183</v>
      </c>
      <c r="G4" s="15"/>
      <c r="H4" s="15"/>
      <c r="I4" s="107"/>
    </row>
    <row r="5" spans="2:22" ht="9" customHeight="1" x14ac:dyDescent="0.15">
      <c r="G5" s="15"/>
      <c r="H5" s="15"/>
      <c r="I5" s="107"/>
      <c r="K5" s="124"/>
      <c r="L5" s="124"/>
      <c r="M5" s="124"/>
      <c r="N5" s="124"/>
      <c r="O5" s="124"/>
      <c r="P5" s="124"/>
      <c r="Q5" s="124"/>
      <c r="R5" s="124"/>
      <c r="S5" s="124"/>
      <c r="T5" s="124"/>
      <c r="U5" s="124"/>
      <c r="V5" s="124"/>
    </row>
    <row r="6" spans="2:22" ht="13.5" customHeight="1" x14ac:dyDescent="0.15">
      <c r="B6" s="34" t="s">
        <v>86</v>
      </c>
      <c r="G6" s="15" t="s">
        <v>92</v>
      </c>
      <c r="H6" s="15"/>
      <c r="I6" s="107"/>
      <c r="J6" s="34" t="s">
        <v>188</v>
      </c>
      <c r="K6" s="124"/>
      <c r="L6" s="124"/>
      <c r="M6" s="124"/>
      <c r="N6" s="124"/>
      <c r="O6" s="124"/>
      <c r="P6" s="124"/>
      <c r="Q6" s="124"/>
      <c r="R6" s="124"/>
      <c r="S6" s="124"/>
      <c r="T6" s="124"/>
      <c r="U6" s="124"/>
      <c r="V6" s="124"/>
    </row>
    <row r="7" spans="2:22" ht="30" customHeight="1" thickBot="1" x14ac:dyDescent="0.2">
      <c r="B7" s="110" t="s">
        <v>184</v>
      </c>
      <c r="G7" s="15"/>
      <c r="H7" s="15"/>
      <c r="I7" s="107"/>
      <c r="J7" s="125" t="s">
        <v>189</v>
      </c>
      <c r="K7" s="179" t="s">
        <v>191</v>
      </c>
      <c r="L7" s="179"/>
      <c r="M7" s="179"/>
      <c r="N7" s="179"/>
      <c r="O7" s="179"/>
      <c r="P7" s="179"/>
      <c r="Q7" s="179"/>
      <c r="R7" s="179"/>
      <c r="S7" s="179"/>
      <c r="T7" s="179"/>
      <c r="U7" s="179"/>
      <c r="V7" s="179"/>
    </row>
    <row r="8" spans="2:22" ht="27" customHeight="1" x14ac:dyDescent="0.15">
      <c r="B8" s="166" t="s">
        <v>138</v>
      </c>
      <c r="C8" s="167"/>
      <c r="D8" s="168"/>
      <c r="E8" s="136">
        <v>2026</v>
      </c>
      <c r="F8" s="142" t="str">
        <f>IF(計算シート!B3&gt;1,"在籍校の設置者を選択してください。","")</f>
        <v>在籍校の設置者を選択してください。</v>
      </c>
      <c r="G8" s="81" t="s">
        <v>157</v>
      </c>
      <c r="H8" s="85"/>
      <c r="I8" s="107"/>
      <c r="J8" s="125" t="s">
        <v>189</v>
      </c>
      <c r="K8" s="179" t="s">
        <v>192</v>
      </c>
      <c r="L8" s="179"/>
      <c r="M8" s="179"/>
      <c r="N8" s="179"/>
      <c r="O8" s="179"/>
      <c r="P8" s="179"/>
      <c r="Q8" s="179"/>
      <c r="R8" s="179"/>
      <c r="S8" s="179"/>
      <c r="T8" s="179"/>
      <c r="U8" s="179"/>
      <c r="V8" s="179"/>
    </row>
    <row r="9" spans="2:22" ht="27" customHeight="1" x14ac:dyDescent="0.15">
      <c r="B9" s="169" t="s">
        <v>88</v>
      </c>
      <c r="C9" s="170"/>
      <c r="D9" s="171"/>
      <c r="E9" s="137" t="s">
        <v>59</v>
      </c>
      <c r="F9" s="73" t="str">
        <f>IF(AND(計算シート!B4&lt;4,計算シート!B3&gt;1,VLOOKUP(G8,リストボックス!AB2:AC3,2,0)=2),"通学形態を選択してください。","")</f>
        <v>通学形態を選択してください。</v>
      </c>
      <c r="G9" s="75" t="s">
        <v>159</v>
      </c>
      <c r="H9" s="85"/>
      <c r="I9" s="107"/>
      <c r="K9" s="179"/>
      <c r="L9" s="179"/>
      <c r="M9" s="179"/>
      <c r="N9" s="179"/>
      <c r="O9" s="179"/>
      <c r="P9" s="179"/>
      <c r="Q9" s="179"/>
      <c r="R9" s="179"/>
      <c r="S9" s="179"/>
      <c r="T9" s="179"/>
      <c r="U9" s="179"/>
      <c r="V9" s="179"/>
    </row>
    <row r="10" spans="2:22" ht="27" customHeight="1" x14ac:dyDescent="0.15">
      <c r="B10" s="169" t="s">
        <v>153</v>
      </c>
      <c r="C10" s="170"/>
      <c r="D10" s="171"/>
      <c r="E10" s="138" t="s">
        <v>115</v>
      </c>
      <c r="F10" s="83"/>
      <c r="G10" s="118"/>
      <c r="H10" s="86"/>
      <c r="I10" s="107"/>
      <c r="J10" s="125" t="s">
        <v>189</v>
      </c>
      <c r="K10" s="179" t="s">
        <v>227</v>
      </c>
      <c r="L10" s="179"/>
      <c r="M10" s="179"/>
      <c r="N10" s="179"/>
      <c r="O10" s="179"/>
      <c r="P10" s="179"/>
      <c r="Q10" s="179"/>
      <c r="R10" s="179"/>
      <c r="S10" s="179"/>
      <c r="T10" s="179"/>
      <c r="U10" s="179"/>
      <c r="V10" s="179"/>
    </row>
    <row r="11" spans="2:22" ht="27" customHeight="1" x14ac:dyDescent="0.15">
      <c r="B11" s="169" t="s">
        <v>154</v>
      </c>
      <c r="C11" s="170"/>
      <c r="D11" s="171"/>
      <c r="E11" s="139">
        <v>1</v>
      </c>
      <c r="F11" s="83" t="s">
        <v>161</v>
      </c>
      <c r="G11" s="82" t="s">
        <v>128</v>
      </c>
      <c r="H11" s="86"/>
      <c r="I11" s="107"/>
      <c r="J11" s="125" t="s">
        <v>189</v>
      </c>
      <c r="K11" s="179" t="s">
        <v>190</v>
      </c>
      <c r="L11" s="179"/>
      <c r="M11" s="179"/>
      <c r="N11" s="179"/>
      <c r="O11" s="179"/>
      <c r="P11" s="179"/>
      <c r="Q11" s="179"/>
      <c r="R11" s="179"/>
      <c r="S11" s="179"/>
      <c r="T11" s="179"/>
      <c r="U11" s="179"/>
      <c r="V11" s="179"/>
    </row>
    <row r="12" spans="2:22" ht="27" customHeight="1" x14ac:dyDescent="0.15">
      <c r="B12" s="169" t="s">
        <v>147</v>
      </c>
      <c r="C12" s="170"/>
      <c r="D12" s="171"/>
      <c r="E12" s="140">
        <v>2</v>
      </c>
      <c r="F12" s="83"/>
      <c r="G12" s="119"/>
      <c r="H12" s="87"/>
      <c r="I12" s="107"/>
      <c r="J12" s="41"/>
      <c r="K12" s="179"/>
      <c r="L12" s="179"/>
      <c r="M12" s="179"/>
      <c r="N12" s="179"/>
      <c r="O12" s="179"/>
      <c r="P12" s="179"/>
      <c r="Q12" s="179"/>
      <c r="R12" s="179"/>
      <c r="S12" s="179"/>
      <c r="T12" s="179"/>
      <c r="U12" s="179"/>
      <c r="V12" s="179"/>
    </row>
    <row r="13" spans="2:22" ht="27" customHeight="1" thickBot="1" x14ac:dyDescent="0.2">
      <c r="B13" s="181"/>
      <c r="C13" s="182"/>
      <c r="D13" s="183"/>
      <c r="E13" s="141"/>
      <c r="F13" s="84"/>
      <c r="G13" s="120"/>
      <c r="H13" s="87"/>
      <c r="I13" s="107"/>
    </row>
    <row r="14" spans="2:22" ht="17.25" customHeight="1" x14ac:dyDescent="0.15">
      <c r="B14" s="35" t="s">
        <v>89</v>
      </c>
      <c r="C14" s="16"/>
      <c r="D14" s="16"/>
      <c r="E14" s="16"/>
      <c r="I14" s="107"/>
    </row>
    <row r="15" spans="2:22" ht="24" customHeight="1" x14ac:dyDescent="0.15">
      <c r="B15" s="113" t="s">
        <v>90</v>
      </c>
      <c r="C15" s="16"/>
      <c r="D15" s="16"/>
      <c r="E15" s="16"/>
      <c r="I15" s="107"/>
    </row>
    <row r="16" spans="2:22" ht="24" customHeight="1" thickBot="1" x14ac:dyDescent="0.2">
      <c r="B16" s="21" t="s">
        <v>226</v>
      </c>
      <c r="C16" s="16"/>
      <c r="D16" s="16"/>
      <c r="E16" s="16"/>
      <c r="I16" s="107"/>
      <c r="J16" s="41"/>
      <c r="L16" s="41"/>
      <c r="M16" s="41"/>
      <c r="N16" s="41"/>
      <c r="O16" s="41"/>
      <c r="P16" s="41"/>
      <c r="Q16" s="41"/>
      <c r="R16" s="41"/>
      <c r="S16" s="41"/>
      <c r="T16" s="41"/>
      <c r="U16" s="41"/>
      <c r="V16" s="126"/>
    </row>
    <row r="17" spans="2:22" ht="27" customHeight="1" thickBot="1" x14ac:dyDescent="0.2">
      <c r="B17" s="17" t="s">
        <v>34</v>
      </c>
      <c r="C17" s="172" t="s">
        <v>31</v>
      </c>
      <c r="D17" s="173"/>
      <c r="E17" s="18" t="s">
        <v>9</v>
      </c>
      <c r="F17" s="59" t="s">
        <v>10</v>
      </c>
      <c r="G17" s="20" t="s">
        <v>11</v>
      </c>
      <c r="H17" s="88"/>
      <c r="I17" s="107"/>
    </row>
    <row r="18" spans="2:22" ht="27" customHeight="1" thickTop="1" x14ac:dyDescent="0.15">
      <c r="B18" s="14" t="s">
        <v>36</v>
      </c>
      <c r="C18" s="150" t="s">
        <v>75</v>
      </c>
      <c r="D18" s="151"/>
      <c r="E18" s="28">
        <v>2487200</v>
      </c>
      <c r="F18" s="60">
        <v>0</v>
      </c>
      <c r="G18" s="51"/>
      <c r="H18" s="89"/>
      <c r="I18" s="107"/>
    </row>
    <row r="19" spans="2:22" ht="27" customHeight="1" x14ac:dyDescent="0.15">
      <c r="B19" s="2" t="s">
        <v>37</v>
      </c>
      <c r="C19" s="156" t="s">
        <v>4</v>
      </c>
      <c r="D19" s="10" t="s">
        <v>17</v>
      </c>
      <c r="E19" s="22" t="s">
        <v>65</v>
      </c>
      <c r="F19" s="61" t="s">
        <v>65</v>
      </c>
      <c r="G19" s="52" t="s">
        <v>65</v>
      </c>
      <c r="H19" s="90"/>
      <c r="I19" s="107"/>
    </row>
    <row r="20" spans="2:22" ht="27" customHeight="1" x14ac:dyDescent="0.15">
      <c r="B20" s="2" t="s">
        <v>38</v>
      </c>
      <c r="C20" s="156"/>
      <c r="D20" s="10" t="s">
        <v>105</v>
      </c>
      <c r="E20" s="22" t="s">
        <v>65</v>
      </c>
      <c r="F20" s="61" t="s">
        <v>65</v>
      </c>
      <c r="G20" s="52" t="s">
        <v>65</v>
      </c>
      <c r="H20" s="90"/>
      <c r="I20" s="107"/>
    </row>
    <row r="21" spans="2:22" ht="27" customHeight="1" x14ac:dyDescent="0.15">
      <c r="B21" s="2" t="s">
        <v>39</v>
      </c>
      <c r="C21" s="154" t="s">
        <v>5</v>
      </c>
      <c r="D21" s="155"/>
      <c r="E21" s="31">
        <v>27485</v>
      </c>
      <c r="F21" s="62">
        <v>28043</v>
      </c>
      <c r="G21" s="33">
        <v>39965</v>
      </c>
      <c r="H21" s="91"/>
      <c r="I21" s="107"/>
    </row>
    <row r="22" spans="2:22" ht="27" customHeight="1" x14ac:dyDescent="0.15">
      <c r="B22" s="2" t="s">
        <v>40</v>
      </c>
      <c r="C22" s="194" t="s">
        <v>162</v>
      </c>
      <c r="D22" s="195"/>
      <c r="E22" s="22" t="s">
        <v>61</v>
      </c>
      <c r="F22" s="61" t="s">
        <v>61</v>
      </c>
      <c r="G22" s="52" t="s">
        <v>61</v>
      </c>
      <c r="H22" s="90"/>
      <c r="I22" s="107"/>
    </row>
    <row r="23" spans="2:22" ht="27" customHeight="1" x14ac:dyDescent="0.15">
      <c r="B23" s="2" t="s">
        <v>42</v>
      </c>
      <c r="C23" s="150" t="s">
        <v>76</v>
      </c>
      <c r="D23" s="151"/>
      <c r="E23" s="28">
        <v>0</v>
      </c>
      <c r="F23" s="60">
        <v>0</v>
      </c>
      <c r="G23" s="51"/>
      <c r="H23" s="89"/>
      <c r="I23" s="107"/>
    </row>
    <row r="24" spans="2:22" ht="27" customHeight="1" x14ac:dyDescent="0.15">
      <c r="B24" s="2" t="s">
        <v>44</v>
      </c>
      <c r="C24" s="150" t="s">
        <v>2</v>
      </c>
      <c r="D24" s="151"/>
      <c r="E24" s="22" t="s">
        <v>65</v>
      </c>
      <c r="F24" s="61" t="s">
        <v>65</v>
      </c>
      <c r="G24" s="52" t="s">
        <v>65</v>
      </c>
      <c r="H24" s="90"/>
      <c r="I24" s="107"/>
    </row>
    <row r="25" spans="2:22" ht="27" customHeight="1" x14ac:dyDescent="0.15">
      <c r="B25" s="2" t="s">
        <v>45</v>
      </c>
      <c r="C25" s="156" t="s">
        <v>3</v>
      </c>
      <c r="D25" s="10" t="s">
        <v>77</v>
      </c>
      <c r="E25" s="25">
        <v>1</v>
      </c>
      <c r="F25" s="63">
        <v>0</v>
      </c>
      <c r="G25" s="53"/>
      <c r="H25" s="92"/>
      <c r="I25" s="107"/>
      <c r="K25" s="122"/>
      <c r="L25" s="122"/>
      <c r="M25" s="122"/>
      <c r="N25" s="122"/>
      <c r="O25" s="122"/>
      <c r="P25" s="122"/>
      <c r="Q25" s="122"/>
      <c r="R25" s="122"/>
      <c r="S25" s="122"/>
      <c r="T25" s="122"/>
      <c r="U25" s="122"/>
      <c r="V25" s="122"/>
    </row>
    <row r="26" spans="2:22" ht="27" customHeight="1" x14ac:dyDescent="0.15">
      <c r="B26" s="2" t="s">
        <v>46</v>
      </c>
      <c r="C26" s="156"/>
      <c r="D26" s="10" t="s">
        <v>78</v>
      </c>
      <c r="E26" s="25">
        <v>0</v>
      </c>
      <c r="F26" s="63">
        <v>0</v>
      </c>
      <c r="G26" s="53"/>
      <c r="H26" s="92"/>
      <c r="I26" s="107"/>
      <c r="J26" s="34" t="s">
        <v>194</v>
      </c>
      <c r="K26" s="124"/>
      <c r="L26" s="122"/>
      <c r="M26" s="122"/>
      <c r="N26" s="122"/>
      <c r="O26" s="122"/>
      <c r="P26" s="122"/>
      <c r="Q26" s="122"/>
      <c r="R26" s="122"/>
      <c r="S26" s="122"/>
      <c r="T26" s="129" t="s">
        <v>197</v>
      </c>
      <c r="U26" s="122"/>
      <c r="V26" s="122"/>
    </row>
    <row r="27" spans="2:22" ht="27" customHeight="1" x14ac:dyDescent="0.15">
      <c r="B27" s="2" t="s">
        <v>47</v>
      </c>
      <c r="C27" s="156"/>
      <c r="D27" s="10" t="s">
        <v>79</v>
      </c>
      <c r="E27" s="25">
        <v>0</v>
      </c>
      <c r="F27" s="63">
        <v>0</v>
      </c>
      <c r="G27" s="53"/>
      <c r="H27" s="92"/>
      <c r="I27" s="107"/>
      <c r="J27" s="135" t="s">
        <v>195</v>
      </c>
      <c r="K27" s="95" t="s">
        <v>196</v>
      </c>
      <c r="L27" s="95"/>
      <c r="M27" s="95"/>
      <c r="N27" s="95"/>
      <c r="O27" s="95"/>
      <c r="P27" s="95"/>
      <c r="Q27" s="95"/>
      <c r="R27" s="95"/>
      <c r="S27" s="95"/>
      <c r="T27" s="127" t="s">
        <v>193</v>
      </c>
      <c r="U27" s="124"/>
      <c r="V27" s="124"/>
    </row>
    <row r="28" spans="2:22" ht="27" customHeight="1" x14ac:dyDescent="0.15">
      <c r="B28" s="2" t="s">
        <v>48</v>
      </c>
      <c r="C28" s="150" t="s">
        <v>80</v>
      </c>
      <c r="D28" s="151"/>
      <c r="E28" s="25">
        <v>1</v>
      </c>
      <c r="F28" s="63">
        <v>0</v>
      </c>
      <c r="G28" s="53"/>
      <c r="H28" s="92"/>
      <c r="I28" s="107"/>
      <c r="J28" s="135" t="s">
        <v>198</v>
      </c>
      <c r="K28" s="132" t="s">
        <v>199</v>
      </c>
      <c r="L28" s="132"/>
      <c r="M28" s="132"/>
      <c r="N28" s="132"/>
      <c r="O28" s="132"/>
      <c r="P28" s="132"/>
      <c r="Q28" s="132"/>
      <c r="R28" s="132"/>
      <c r="S28" s="132"/>
      <c r="T28" s="132"/>
      <c r="U28" s="132"/>
      <c r="V28" s="132"/>
    </row>
    <row r="29" spans="2:22" ht="27" customHeight="1" x14ac:dyDescent="0.15">
      <c r="B29" s="2" t="s">
        <v>51</v>
      </c>
      <c r="C29" s="150" t="s">
        <v>81</v>
      </c>
      <c r="D29" s="151"/>
      <c r="E29" s="28">
        <v>929000</v>
      </c>
      <c r="F29" s="60">
        <v>0</v>
      </c>
      <c r="G29" s="51"/>
      <c r="H29" s="89"/>
      <c r="I29" s="107"/>
      <c r="J29" s="135" t="s">
        <v>200</v>
      </c>
      <c r="K29" s="131" t="s">
        <v>201</v>
      </c>
      <c r="L29" s="123"/>
      <c r="M29" s="123"/>
      <c r="N29" s="123"/>
      <c r="O29" s="123"/>
      <c r="P29" s="123"/>
      <c r="Q29" s="123"/>
      <c r="R29" s="123"/>
      <c r="S29" s="123"/>
      <c r="T29" s="123"/>
      <c r="U29" s="123"/>
      <c r="V29" s="123"/>
    </row>
    <row r="30" spans="2:22" ht="27" customHeight="1" x14ac:dyDescent="0.15">
      <c r="B30" s="2" t="s">
        <v>53</v>
      </c>
      <c r="C30" s="150" t="s">
        <v>82</v>
      </c>
      <c r="D30" s="151"/>
      <c r="E30" s="28">
        <v>6000</v>
      </c>
      <c r="F30" s="60">
        <v>0</v>
      </c>
      <c r="G30" s="51"/>
      <c r="H30" s="89"/>
      <c r="I30" s="107"/>
      <c r="J30" s="135" t="s">
        <v>202</v>
      </c>
      <c r="K30" s="128" t="s">
        <v>234</v>
      </c>
    </row>
    <row r="31" spans="2:22" ht="27" customHeight="1" x14ac:dyDescent="0.15">
      <c r="B31" s="143" t="s">
        <v>53</v>
      </c>
      <c r="C31" s="184" t="s">
        <v>131</v>
      </c>
      <c r="D31" s="185"/>
      <c r="E31" s="144"/>
      <c r="F31" s="144"/>
      <c r="G31" s="145"/>
      <c r="H31" s="89"/>
      <c r="I31" s="107"/>
      <c r="J31" s="135" t="s">
        <v>203</v>
      </c>
      <c r="K31" s="180" t="s">
        <v>235</v>
      </c>
      <c r="L31" s="179"/>
      <c r="M31" s="179"/>
      <c r="N31" s="179"/>
      <c r="O31" s="179"/>
      <c r="P31" s="179"/>
      <c r="Q31" s="179"/>
      <c r="R31" s="179"/>
      <c r="S31" s="179"/>
      <c r="T31" s="179"/>
      <c r="U31" s="179"/>
      <c r="V31" s="179"/>
    </row>
    <row r="32" spans="2:22" ht="27" customHeight="1" x14ac:dyDescent="0.15">
      <c r="B32" s="2" t="s">
        <v>54</v>
      </c>
      <c r="C32" s="150" t="s">
        <v>7</v>
      </c>
      <c r="D32" s="151"/>
      <c r="E32" s="22" t="s">
        <v>64</v>
      </c>
      <c r="F32" s="64" t="s">
        <v>63</v>
      </c>
      <c r="G32" s="51"/>
      <c r="H32" s="89"/>
      <c r="I32" s="107"/>
      <c r="J32" s="135" t="s">
        <v>205</v>
      </c>
      <c r="K32" s="131" t="s">
        <v>204</v>
      </c>
      <c r="L32" s="123"/>
      <c r="M32" s="123"/>
      <c r="N32" s="123"/>
      <c r="O32" s="123"/>
      <c r="P32" s="123"/>
      <c r="Q32" s="123"/>
      <c r="R32" s="123"/>
      <c r="S32" s="123"/>
      <c r="T32" s="123"/>
      <c r="U32" s="123"/>
      <c r="V32" s="123"/>
    </row>
    <row r="33" spans="2:22" ht="27" hidden="1" customHeight="1" thickBot="1" x14ac:dyDescent="0.2">
      <c r="B33" s="43">
        <v>4</v>
      </c>
      <c r="C33" s="158" t="s">
        <v>106</v>
      </c>
      <c r="D33" s="159"/>
      <c r="E33" s="46">
        <v>2</v>
      </c>
      <c r="F33" s="65">
        <v>0</v>
      </c>
      <c r="G33" s="54" t="s">
        <v>63</v>
      </c>
      <c r="H33" s="90"/>
      <c r="I33" s="107"/>
      <c r="J33" s="135" t="s">
        <v>206</v>
      </c>
      <c r="K33" s="133" t="s">
        <v>220</v>
      </c>
      <c r="L33" s="130"/>
      <c r="M33" s="130"/>
      <c r="N33" s="130"/>
      <c r="O33" s="130"/>
      <c r="P33" s="130"/>
      <c r="Q33" s="130"/>
      <c r="R33" s="130"/>
      <c r="S33" s="130"/>
      <c r="T33" s="130"/>
      <c r="U33" s="130"/>
      <c r="V33" s="130"/>
    </row>
    <row r="34" spans="2:22" ht="27" customHeight="1" x14ac:dyDescent="0.15">
      <c r="B34" s="2" t="s">
        <v>41</v>
      </c>
      <c r="C34" s="157" t="s">
        <v>35</v>
      </c>
      <c r="D34" s="155"/>
      <c r="E34" s="8">
        <v>0</v>
      </c>
      <c r="F34" s="66">
        <v>0</v>
      </c>
      <c r="G34" s="55">
        <v>0</v>
      </c>
      <c r="H34" s="89"/>
      <c r="I34" s="107"/>
      <c r="J34" s="135" t="s">
        <v>228</v>
      </c>
      <c r="K34" s="133" t="s">
        <v>229</v>
      </c>
      <c r="L34" s="124"/>
      <c r="M34" s="124"/>
      <c r="N34" s="124"/>
      <c r="O34" s="124"/>
      <c r="P34" s="124"/>
      <c r="Q34" s="124"/>
      <c r="R34" s="124"/>
      <c r="S34" s="124"/>
      <c r="T34" s="124"/>
      <c r="U34" s="124"/>
      <c r="V34" s="124"/>
    </row>
    <row r="35" spans="2:22" ht="27" customHeight="1" x14ac:dyDescent="0.15">
      <c r="B35" s="2" t="s">
        <v>43</v>
      </c>
      <c r="C35" s="154" t="s">
        <v>83</v>
      </c>
      <c r="D35" s="155"/>
      <c r="E35" s="8">
        <v>2487200</v>
      </c>
      <c r="F35" s="66">
        <v>0</v>
      </c>
      <c r="G35" s="55">
        <v>0</v>
      </c>
      <c r="H35" s="89"/>
      <c r="I35" s="107"/>
      <c r="J35" s="135" t="s">
        <v>230</v>
      </c>
      <c r="K35" s="132" t="s">
        <v>231</v>
      </c>
      <c r="L35" s="132"/>
      <c r="M35" s="132"/>
      <c r="N35" s="132"/>
      <c r="O35" s="132"/>
      <c r="P35" s="132"/>
      <c r="Q35" s="132"/>
      <c r="R35" s="132"/>
      <c r="S35" s="132"/>
      <c r="T35" s="132"/>
      <c r="U35" s="132"/>
      <c r="V35" s="132"/>
    </row>
    <row r="36" spans="2:22" ht="27" customHeight="1" x14ac:dyDescent="0.15">
      <c r="B36" s="2" t="s">
        <v>49</v>
      </c>
      <c r="C36" s="150" t="s">
        <v>84</v>
      </c>
      <c r="D36" s="151"/>
      <c r="E36" s="11">
        <v>2</v>
      </c>
      <c r="F36" s="67">
        <v>0</v>
      </c>
      <c r="G36" s="56">
        <v>0</v>
      </c>
      <c r="H36" s="93"/>
      <c r="I36" s="107"/>
      <c r="J36" s="135" t="s">
        <v>208</v>
      </c>
      <c r="K36" s="128" t="s">
        <v>207</v>
      </c>
    </row>
    <row r="37" spans="2:22" ht="27" customHeight="1" x14ac:dyDescent="0.15">
      <c r="B37" s="2" t="s">
        <v>50</v>
      </c>
      <c r="C37" s="156" t="s">
        <v>85</v>
      </c>
      <c r="D37" s="151"/>
      <c r="E37" s="9">
        <v>1470000</v>
      </c>
      <c r="F37" s="60">
        <v>350000</v>
      </c>
      <c r="G37" s="51">
        <v>0</v>
      </c>
      <c r="H37" s="89"/>
      <c r="I37" s="107"/>
      <c r="J37" s="135" t="s">
        <v>209</v>
      </c>
      <c r="K37" s="128" t="s">
        <v>213</v>
      </c>
      <c r="L37" s="128"/>
      <c r="M37" s="128"/>
      <c r="N37" s="128"/>
      <c r="O37" s="128"/>
      <c r="P37" s="128"/>
      <c r="Q37" s="128"/>
      <c r="R37" s="128"/>
      <c r="S37" s="128"/>
      <c r="T37" s="128"/>
      <c r="U37" s="128"/>
      <c r="V37" s="128"/>
    </row>
    <row r="38" spans="2:22" ht="27" customHeight="1" thickBot="1" x14ac:dyDescent="0.2">
      <c r="B38" s="7" t="s">
        <v>55</v>
      </c>
      <c r="C38" s="187" t="s">
        <v>221</v>
      </c>
      <c r="D38" s="188"/>
      <c r="E38" s="36">
        <v>49700</v>
      </c>
      <c r="F38" s="68">
        <v>0</v>
      </c>
      <c r="G38" s="57">
        <v>0</v>
      </c>
      <c r="H38" s="89"/>
      <c r="I38" s="107"/>
      <c r="J38" s="135" t="s">
        <v>211</v>
      </c>
      <c r="K38" s="128" t="s">
        <v>210</v>
      </c>
      <c r="L38" s="128"/>
      <c r="M38" s="128"/>
      <c r="N38" s="128"/>
      <c r="O38" s="128"/>
      <c r="P38" s="128"/>
      <c r="Q38" s="128"/>
      <c r="R38" s="128"/>
      <c r="S38" s="128"/>
      <c r="T38" s="128"/>
      <c r="U38" s="128"/>
      <c r="V38" s="128"/>
    </row>
    <row r="39" spans="2:22" ht="27" customHeight="1" thickTop="1" thickBot="1" x14ac:dyDescent="0.2">
      <c r="B39" s="43">
        <v>4</v>
      </c>
      <c r="C39" s="186" t="s">
        <v>222</v>
      </c>
      <c r="D39" s="161"/>
      <c r="E39" s="162">
        <v>9700</v>
      </c>
      <c r="F39" s="163"/>
      <c r="G39" s="164"/>
      <c r="H39" s="94"/>
      <c r="I39" s="107"/>
      <c r="J39" s="135" t="s">
        <v>232</v>
      </c>
      <c r="K39" s="134" t="s">
        <v>236</v>
      </c>
      <c r="L39" s="128"/>
      <c r="M39" s="128"/>
      <c r="N39" s="128"/>
      <c r="O39" s="128"/>
      <c r="P39" s="128"/>
      <c r="Q39" s="128"/>
      <c r="R39" s="128"/>
      <c r="S39" s="128"/>
      <c r="T39" s="128"/>
      <c r="U39" s="128"/>
      <c r="V39" s="128"/>
    </row>
    <row r="40" spans="2:22" ht="27" customHeight="1" thickTop="1" thickBot="1" x14ac:dyDescent="0.2">
      <c r="B40" s="37"/>
      <c r="C40" s="189" t="s">
        <v>223</v>
      </c>
      <c r="D40" s="190"/>
      <c r="E40" s="191" t="s">
        <v>186</v>
      </c>
      <c r="F40" s="192"/>
      <c r="G40" s="193"/>
      <c r="H40" s="16"/>
      <c r="I40" s="108"/>
      <c r="J40" s="135" t="s">
        <v>214</v>
      </c>
      <c r="K40" s="131" t="s">
        <v>212</v>
      </c>
      <c r="L40" s="123"/>
      <c r="M40" s="123"/>
      <c r="N40" s="123"/>
      <c r="O40" s="123"/>
      <c r="P40" s="123"/>
      <c r="Q40" s="123"/>
      <c r="R40" s="123"/>
      <c r="S40" s="123"/>
      <c r="T40" s="123"/>
      <c r="U40" s="123"/>
      <c r="V40" s="123"/>
    </row>
    <row r="41" spans="2:22" ht="24.6" customHeight="1" thickBot="1" x14ac:dyDescent="0.2">
      <c r="I41" s="107"/>
      <c r="J41" s="135" t="s">
        <v>216</v>
      </c>
      <c r="K41" s="132" t="s">
        <v>215</v>
      </c>
      <c r="L41" s="124"/>
      <c r="M41" s="124"/>
      <c r="N41" s="124"/>
      <c r="O41" s="124"/>
      <c r="P41" s="124"/>
      <c r="Q41" s="124"/>
      <c r="R41" s="124"/>
      <c r="S41" s="124"/>
      <c r="T41" s="124"/>
      <c r="U41" s="124"/>
      <c r="V41" s="124"/>
    </row>
    <row r="42" spans="2:22" ht="29.65" customHeight="1" thickTop="1" thickBot="1" x14ac:dyDescent="0.2">
      <c r="B42" s="101"/>
      <c r="F42" s="117" t="s">
        <v>185</v>
      </c>
      <c r="G42" s="116" t="s">
        <v>187</v>
      </c>
      <c r="I42" s="107"/>
      <c r="J42" s="135" t="s">
        <v>218</v>
      </c>
      <c r="K42" s="132" t="s">
        <v>217</v>
      </c>
      <c r="L42" s="124"/>
      <c r="M42" s="124"/>
      <c r="N42" s="124"/>
      <c r="O42" s="124"/>
      <c r="P42" s="124"/>
      <c r="Q42" s="124"/>
      <c r="R42" s="124"/>
      <c r="S42" s="124"/>
      <c r="T42" s="124"/>
      <c r="U42" s="124"/>
      <c r="V42" s="124"/>
    </row>
    <row r="43" spans="2:22" ht="14.25" thickTop="1" x14ac:dyDescent="0.15">
      <c r="I43" s="107"/>
      <c r="J43" s="135" t="s">
        <v>233</v>
      </c>
      <c r="K43" s="132" t="s">
        <v>219</v>
      </c>
      <c r="L43" s="124"/>
      <c r="M43" s="124"/>
      <c r="N43" s="124"/>
      <c r="O43" s="124"/>
      <c r="P43" s="124"/>
      <c r="Q43" s="124"/>
      <c r="R43" s="124"/>
      <c r="S43" s="124"/>
      <c r="T43" s="124"/>
      <c r="U43" s="124"/>
      <c r="V43" s="124"/>
    </row>
    <row r="44" spans="2:22" x14ac:dyDescent="0.15">
      <c r="I44" s="121"/>
    </row>
  </sheetData>
  <protectedRanges>
    <protectedRange sqref="E30 E32:F33" name="範囲2"/>
    <protectedRange sqref="E10:E12" name="範囲1_4"/>
    <protectedRange sqref="G10:H11" name="範囲3"/>
    <protectedRange sqref="E31:G31" name="範囲2_1"/>
  </protectedRanges>
  <mergeCells count="35">
    <mergeCell ref="C40:D40"/>
    <mergeCell ref="E40:G40"/>
    <mergeCell ref="C19:C20"/>
    <mergeCell ref="B8:D8"/>
    <mergeCell ref="B9:D9"/>
    <mergeCell ref="C35:D35"/>
    <mergeCell ref="C21:D21"/>
    <mergeCell ref="C22:D22"/>
    <mergeCell ref="C23:D23"/>
    <mergeCell ref="C24:D24"/>
    <mergeCell ref="C25:C27"/>
    <mergeCell ref="C34:D34"/>
    <mergeCell ref="C17:D17"/>
    <mergeCell ref="C18:D18"/>
    <mergeCell ref="B10:D10"/>
    <mergeCell ref="B12:D12"/>
    <mergeCell ref="C32:D32"/>
    <mergeCell ref="C33:D33"/>
    <mergeCell ref="C31:D31"/>
    <mergeCell ref="C39:D39"/>
    <mergeCell ref="E39:G39"/>
    <mergeCell ref="C36:D36"/>
    <mergeCell ref="C37:D37"/>
    <mergeCell ref="C38:D38"/>
    <mergeCell ref="K8:V9"/>
    <mergeCell ref="K31:V31"/>
    <mergeCell ref="B1:G1"/>
    <mergeCell ref="K7:V7"/>
    <mergeCell ref="K10:V10"/>
    <mergeCell ref="K11:V12"/>
    <mergeCell ref="C28:D28"/>
    <mergeCell ref="C29:D29"/>
    <mergeCell ref="C30:D30"/>
    <mergeCell ref="B11:D11"/>
    <mergeCell ref="B13:D13"/>
  </mergeCells>
  <phoneticPr fontId="1"/>
  <dataValidations count="1">
    <dataValidation type="whole" allowBlank="1" showInputMessage="1" showErrorMessage="1" sqref="E12" xr:uid="{00000000-0002-0000-0100-000000000000}">
      <formula1>0</formula1>
      <formula2>99</formula2>
    </dataValidation>
  </dataValidations>
  <hyperlinks>
    <hyperlink ref="T27" r:id="rId1" display="https://www.jasso.go.jp/shogakukin/about/kyufu/kakei/seikei_izisha.html" xr:uid="{00000000-0004-0000-0100-000000000000}"/>
  </hyperlinks>
  <pageMargins left="0.23622047244094491" right="0.23622047244094491" top="0.74803149606299213" bottom="0.74803149606299213" header="0.31496062992125984" footer="0.31496062992125984"/>
  <pageSetup paperSize="9" scale="75" fitToWidth="2" orientation="portrait" r:id="rId2"/>
  <colBreaks count="1" manualBreakCount="1">
    <brk id="8" max="42" man="1"/>
  </colBreaks>
  <ignoredErrors>
    <ignoredError sqref="J27:J33 J36:J38 J40:J42" numberStoredAsText="1"/>
  </ignoredErrors>
  <drawing r:id="rId3"/>
  <extLst>
    <ext xmlns:x14="http://schemas.microsoft.com/office/spreadsheetml/2009/9/main" uri="{78C0D931-6437-407d-A8EE-F0AAD7539E65}">
      <x14:conditionalFormattings>
        <x14:conditionalFormatting xmlns:xm="http://schemas.microsoft.com/office/excel/2006/main">
          <x14:cfRule type="expression" priority="6" id="{1882AE0E-3637-437F-8457-39CEDBFAAE9E}">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054611F8-9BE4-41EC-A1DC-3BF7DD4F33DF}">
            <xm:f>計算シート!$B$2=3</xm:f>
            <x14:dxf>
              <fill>
                <patternFill>
                  <bgColor theme="1"/>
                </patternFill>
              </fill>
            </x14:dxf>
          </x14:cfRule>
          <xm:sqref>E39</xm:sqref>
        </x14:conditionalFormatting>
        <x14:conditionalFormatting xmlns:xm="http://schemas.microsoft.com/office/excel/2006/main">
          <x14:cfRule type="expression" priority="9" id="{92A673A1-EC7A-4782-B579-848B454DF1DF}">
            <xm:f>計算シート!$B$2=3</xm:f>
            <x14:dxf>
              <fill>
                <patternFill>
                  <bgColor theme="1"/>
                </patternFill>
              </fill>
            </x14:dxf>
          </x14:cfRule>
          <xm:sqref>E17:F38</xm:sqref>
        </x14:conditionalFormatting>
        <x14:conditionalFormatting xmlns:xm="http://schemas.microsoft.com/office/excel/2006/main">
          <x14:cfRule type="expression" priority="4" id="{190B115A-BDE2-44E7-A123-9FD8D0B1A45E}">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8" id="{A33508F1-FF94-408C-ACD6-8CF789D6F5DC}">
            <xm:f>計算シート!$B$2=2</xm:f>
            <x14:dxf>
              <fill>
                <patternFill>
                  <bgColor theme="1"/>
                </patternFill>
              </fill>
            </x14:dxf>
          </x14:cfRule>
          <xm:sqref>F17:F31</xm:sqref>
        </x14:conditionalFormatting>
        <x14:conditionalFormatting xmlns:xm="http://schemas.microsoft.com/office/excel/2006/main">
          <x14:cfRule type="expression" priority="28" id="{D183E929-F027-4931-8E84-DFE59E4C8485}">
            <xm:f>計算シート!$B$2=2</xm:f>
            <x14:dxf>
              <fill>
                <patternFill>
                  <bgColor theme="1"/>
                </patternFill>
              </fill>
            </x14:dxf>
          </x14:cfRule>
          <xm:sqref>F34:F38</xm:sqref>
        </x14:conditionalFormatting>
        <x14:conditionalFormatting xmlns:xm="http://schemas.microsoft.com/office/excel/2006/main">
          <x14:cfRule type="expression" priority="1" id="{35C856B2-9F0F-4481-BBFB-133DA9DC2530}">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2" id="{BF446DB2-727B-405B-A655-89F05FEDD9D6}">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3" id="{EA8E801E-F94E-477E-A3B1-F133909073A5}">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7" id="{40E7BC14-B021-4E53-B20C-ECEEFFA2FFE8}">
            <xm:f>AND(計算シート!$B$4&lt;4,計算シート!$B$2&lt;3)</xm:f>
            <x14:dxf>
              <fill>
                <patternFill>
                  <bgColor theme="1"/>
                </patternFill>
              </fill>
            </x14:dxf>
          </x14:cfRule>
          <xm:sqref>G31</xm:sqref>
        </x14:conditionalFormatting>
        <x14:conditionalFormatting xmlns:xm="http://schemas.microsoft.com/office/excel/2006/main">
          <x14:cfRule type="expression" priority="27" id="{81EBBC7B-4231-4D4F-9859-18074803200F}">
            <xm:f>計算シート!$B$2=3</xm:f>
            <x14:dxf>
              <fill>
                <patternFill>
                  <bgColor theme="1"/>
                </patternFill>
              </fill>
            </x14:dxf>
          </x14:cfRule>
          <xm:sqref>G36:H36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リストボックス!$G$2:$G$3</xm:f>
          </x14:formula1>
          <xm:sqref>E32:F32</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errorStyle="information" allowBlank="1" showInputMessage="1" showErrorMessage="1" errorTitle="対象年度" error="本ツールは、2024年度（令和６年度）以降の申請に対応しています。" xr:uid="{00000000-0002-0000-0100-00000B000000}">
          <x14:formula1>
            <xm:f>リストボックス!$Y$7</xm:f>
          </x14:formula1>
          <xm:sqref>E8</xm:sqref>
        </x14:dataValidation>
        <x14:dataValidation type="list" allowBlank="1" showInputMessage="1" showErrorMessage="1" xr:uid="{00000000-0002-0000-0100-00000C000000}">
          <x14:formula1>
            <xm:f>リストボックス!$AD$2:$AD$3</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workbookViewId="0">
      <selection activeCell="M3" sqref="M3:N3"/>
    </sheetView>
  </sheetViews>
  <sheetFormatPr defaultRowHeight="13.5" x14ac:dyDescent="0.15"/>
  <cols>
    <col min="21" max="21" width="14.5" customWidth="1"/>
  </cols>
  <sheetData>
    <row r="1" spans="1:31" x14ac:dyDescent="0.15">
      <c r="A1" t="s">
        <v>19</v>
      </c>
      <c r="B1" t="s">
        <v>56</v>
      </c>
      <c r="C1" t="s">
        <v>14</v>
      </c>
      <c r="D1" t="s">
        <v>56</v>
      </c>
      <c r="E1" t="s">
        <v>6</v>
      </c>
      <c r="F1" t="s">
        <v>56</v>
      </c>
      <c r="G1" t="s">
        <v>15</v>
      </c>
      <c r="H1" t="s">
        <v>56</v>
      </c>
      <c r="I1" t="s">
        <v>2</v>
      </c>
      <c r="J1" t="s">
        <v>56</v>
      </c>
      <c r="K1" t="s">
        <v>16</v>
      </c>
      <c r="L1" t="s">
        <v>56</v>
      </c>
      <c r="M1" t="s">
        <v>18</v>
      </c>
      <c r="N1" t="s">
        <v>56</v>
      </c>
      <c r="O1" t="s">
        <v>112</v>
      </c>
      <c r="P1" t="s">
        <v>113</v>
      </c>
      <c r="Q1" t="s">
        <v>116</v>
      </c>
      <c r="R1" t="s">
        <v>56</v>
      </c>
      <c r="S1" t="s">
        <v>125</v>
      </c>
      <c r="T1" t="s">
        <v>126</v>
      </c>
      <c r="U1" t="s">
        <v>158</v>
      </c>
      <c r="W1" t="s">
        <v>139</v>
      </c>
      <c r="Y1" t="s">
        <v>148</v>
      </c>
      <c r="Z1" t="s">
        <v>149</v>
      </c>
      <c r="AB1" t="s">
        <v>155</v>
      </c>
      <c r="AD1" t="s">
        <v>173</v>
      </c>
    </row>
    <row r="2" spans="1:31" x14ac:dyDescent="0.15">
      <c r="A2">
        <v>2</v>
      </c>
      <c r="B2">
        <v>1</v>
      </c>
      <c r="C2" t="s">
        <v>58</v>
      </c>
      <c r="D2">
        <v>1</v>
      </c>
      <c r="E2" t="s">
        <v>61</v>
      </c>
      <c r="F2">
        <v>0</v>
      </c>
      <c r="G2" t="s">
        <v>63</v>
      </c>
      <c r="H2">
        <v>0</v>
      </c>
      <c r="I2" t="s">
        <v>65</v>
      </c>
      <c r="J2">
        <v>0</v>
      </c>
      <c r="K2" t="s">
        <v>65</v>
      </c>
      <c r="L2">
        <v>0</v>
      </c>
      <c r="M2" t="s">
        <v>65</v>
      </c>
      <c r="N2">
        <v>0</v>
      </c>
      <c r="O2" t="s">
        <v>114</v>
      </c>
      <c r="P2">
        <v>1</v>
      </c>
      <c r="Q2" t="s">
        <v>118</v>
      </c>
      <c r="R2">
        <v>1</v>
      </c>
      <c r="S2" t="s">
        <v>128</v>
      </c>
      <c r="T2">
        <v>1</v>
      </c>
      <c r="U2" t="s">
        <v>159</v>
      </c>
      <c r="V2">
        <v>1</v>
      </c>
      <c r="W2" t="s">
        <v>140</v>
      </c>
      <c r="X2">
        <v>1</v>
      </c>
      <c r="Y2">
        <v>2019</v>
      </c>
      <c r="Z2" t="s">
        <v>150</v>
      </c>
      <c r="AA2">
        <v>1</v>
      </c>
      <c r="AB2" t="s">
        <v>156</v>
      </c>
      <c r="AC2">
        <v>1</v>
      </c>
      <c r="AD2" t="s">
        <v>174</v>
      </c>
      <c r="AE2">
        <v>1</v>
      </c>
    </row>
    <row r="3" spans="1:31" x14ac:dyDescent="0.15">
      <c r="A3">
        <v>1</v>
      </c>
      <c r="B3">
        <v>2</v>
      </c>
      <c r="C3" t="s">
        <v>59</v>
      </c>
      <c r="D3">
        <v>3</v>
      </c>
      <c r="E3" t="s">
        <v>62</v>
      </c>
      <c r="F3">
        <v>1</v>
      </c>
      <c r="G3" t="s">
        <v>64</v>
      </c>
      <c r="H3">
        <v>1</v>
      </c>
      <c r="I3" t="s">
        <v>66</v>
      </c>
      <c r="J3">
        <v>1</v>
      </c>
      <c r="K3" t="s">
        <v>69</v>
      </c>
      <c r="L3">
        <v>1</v>
      </c>
      <c r="M3" t="s">
        <v>180</v>
      </c>
      <c r="N3">
        <v>1</v>
      </c>
      <c r="O3" t="s">
        <v>115</v>
      </c>
      <c r="P3">
        <v>2</v>
      </c>
      <c r="Q3" t="s">
        <v>119</v>
      </c>
      <c r="R3">
        <v>2</v>
      </c>
      <c r="S3" t="s">
        <v>129</v>
      </c>
      <c r="T3">
        <v>2</v>
      </c>
      <c r="U3" t="s">
        <v>160</v>
      </c>
      <c r="V3">
        <v>2</v>
      </c>
      <c r="W3" t="s">
        <v>141</v>
      </c>
      <c r="X3">
        <v>2</v>
      </c>
      <c r="Y3">
        <v>2020</v>
      </c>
      <c r="Z3" t="s">
        <v>151</v>
      </c>
      <c r="AA3">
        <v>2</v>
      </c>
      <c r="AB3" t="s">
        <v>157</v>
      </c>
      <c r="AC3">
        <v>2</v>
      </c>
      <c r="AD3" t="s">
        <v>175</v>
      </c>
      <c r="AE3">
        <v>2</v>
      </c>
    </row>
    <row r="4" spans="1:31" x14ac:dyDescent="0.15">
      <c r="A4" t="s">
        <v>57</v>
      </c>
      <c r="B4">
        <v>3</v>
      </c>
      <c r="C4" t="s">
        <v>60</v>
      </c>
      <c r="D4">
        <v>4</v>
      </c>
      <c r="I4" t="s">
        <v>67</v>
      </c>
      <c r="J4">
        <v>2</v>
      </c>
      <c r="K4" t="s">
        <v>70</v>
      </c>
      <c r="L4">
        <v>2</v>
      </c>
      <c r="M4" t="s">
        <v>97</v>
      </c>
      <c r="N4">
        <v>4</v>
      </c>
      <c r="O4" t="s">
        <v>117</v>
      </c>
      <c r="P4">
        <v>3</v>
      </c>
      <c r="S4" t="s">
        <v>127</v>
      </c>
      <c r="T4">
        <v>0</v>
      </c>
      <c r="Y4">
        <v>2021</v>
      </c>
    </row>
    <row r="5" spans="1:31" x14ac:dyDescent="0.15">
      <c r="C5" t="s">
        <v>87</v>
      </c>
      <c r="D5">
        <v>5</v>
      </c>
      <c r="I5" t="s">
        <v>68</v>
      </c>
      <c r="J5">
        <v>3</v>
      </c>
      <c r="K5" t="s">
        <v>71</v>
      </c>
      <c r="L5">
        <v>3</v>
      </c>
      <c r="M5" t="s">
        <v>72</v>
      </c>
      <c r="N5">
        <v>2</v>
      </c>
      <c r="O5" t="str">
        <f>IF(計算シート!$B$46=0,"給付奨学金","")</f>
        <v>給付奨学金</v>
      </c>
      <c r="P5">
        <v>4</v>
      </c>
      <c r="Y5">
        <v>2022</v>
      </c>
    </row>
    <row r="6" spans="1:31" x14ac:dyDescent="0.15">
      <c r="C6" t="s">
        <v>165</v>
      </c>
      <c r="D6">
        <v>6</v>
      </c>
      <c r="M6" t="s">
        <v>73</v>
      </c>
      <c r="N6">
        <v>3</v>
      </c>
      <c r="Y6">
        <v>2023</v>
      </c>
    </row>
    <row r="7" spans="1:31" x14ac:dyDescent="0.15">
      <c r="C7" t="s">
        <v>166</v>
      </c>
      <c r="D7">
        <v>7</v>
      </c>
      <c r="Y7">
        <v>2024</v>
      </c>
    </row>
    <row r="8" spans="1:31" x14ac:dyDescent="0.15">
      <c r="C8" t="s">
        <v>167</v>
      </c>
      <c r="D8">
        <v>8</v>
      </c>
      <c r="Y8">
        <v>2025</v>
      </c>
    </row>
    <row r="9" spans="1:31" x14ac:dyDescent="0.15">
      <c r="C9" t="s">
        <v>95</v>
      </c>
      <c r="D9">
        <v>2</v>
      </c>
      <c r="Y9">
        <v>2026</v>
      </c>
    </row>
    <row r="10" spans="1:31" x14ac:dyDescent="0.15">
      <c r="Y10">
        <v>2027</v>
      </c>
    </row>
    <row r="11" spans="1:31" x14ac:dyDescent="0.15">
      <c r="Y11">
        <v>2028</v>
      </c>
    </row>
    <row r="12" spans="1:31" x14ac:dyDescent="0.15">
      <c r="Y12">
        <v>2029</v>
      </c>
    </row>
    <row r="13" spans="1:31" x14ac:dyDescent="0.15">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workbookViewId="0">
      <selection activeCell="B30" sqref="B30"/>
    </sheetView>
  </sheetViews>
  <sheetFormatPr defaultRowHeight="13.5" x14ac:dyDescent="0.15"/>
  <cols>
    <col min="1" max="1" width="32.875" bestFit="1" customWidth="1"/>
    <col min="2" max="3" width="12.375" bestFit="1" customWidth="1"/>
    <col min="4" max="4" width="14.5" customWidth="1"/>
  </cols>
  <sheetData>
    <row r="1" spans="1:5" x14ac:dyDescent="0.15">
      <c r="A1" s="49"/>
      <c r="B1" s="49" t="s">
        <v>9</v>
      </c>
      <c r="C1" s="49" t="s">
        <v>10</v>
      </c>
      <c r="D1" s="49" t="s">
        <v>13</v>
      </c>
      <c r="E1" t="s">
        <v>145</v>
      </c>
    </row>
    <row r="2" spans="1:5" x14ac:dyDescent="0.15">
      <c r="A2" s="49" t="s">
        <v>32</v>
      </c>
      <c r="B2" s="49">
        <f>IF($B$46=0,VLOOKUP('入力シート（大学18期）'!$E$11,リストボックス!$A$1:$B$4,2,0),1)</f>
        <v>1</v>
      </c>
      <c r="C2" s="49"/>
      <c r="D2" s="49"/>
      <c r="E2" s="49"/>
    </row>
    <row r="3" spans="1:5" x14ac:dyDescent="0.15">
      <c r="A3" s="49" t="s">
        <v>30</v>
      </c>
      <c r="B3" s="49">
        <f>VLOOKUP('入力シート（大学18期）'!E9,リストボックス!C2:D9,2,0)</f>
        <v>3</v>
      </c>
      <c r="C3" s="49"/>
      <c r="D3" s="49"/>
      <c r="E3" s="49"/>
    </row>
    <row r="4" spans="1:5" x14ac:dyDescent="0.15">
      <c r="A4" s="58" t="s">
        <v>123</v>
      </c>
      <c r="B4" s="49">
        <f>VLOOKUP('入力シート（大学18期）'!E10,リストボックス!O1:P5,2,0)</f>
        <v>2</v>
      </c>
      <c r="C4" s="49"/>
      <c r="D4" s="49"/>
      <c r="E4" s="49"/>
    </row>
    <row r="5" spans="1:5" x14ac:dyDescent="0.15">
      <c r="A5" s="58" t="s">
        <v>124</v>
      </c>
      <c r="B5" s="49">
        <f>IFERROR(VLOOKUP('入力シート（大学18期）'!G10,リストボックス!Q1:R3,2,0),0)</f>
        <v>1</v>
      </c>
      <c r="C5" s="49"/>
      <c r="D5" s="49"/>
      <c r="E5" s="49"/>
    </row>
    <row r="6" spans="1:5" x14ac:dyDescent="0.15">
      <c r="A6" s="58" t="s">
        <v>130</v>
      </c>
      <c r="B6" s="49">
        <f>IFERROR(VLOOKUP('入力シート（大学18期）'!G11,リストボックス!S1:T4,2,0),0)</f>
        <v>1</v>
      </c>
      <c r="C6" s="49"/>
      <c r="D6" s="49"/>
      <c r="E6" s="49"/>
    </row>
    <row r="7" spans="1:5" x14ac:dyDescent="0.15">
      <c r="A7" s="49" t="s">
        <v>74</v>
      </c>
      <c r="B7" s="100">
        <f>DATE('入力シート（大学18期）'!E8,4,1)</f>
        <v>46113</v>
      </c>
      <c r="C7" s="49"/>
      <c r="D7" s="49"/>
      <c r="E7" s="49"/>
    </row>
    <row r="8" spans="1:5" x14ac:dyDescent="0.15">
      <c r="A8" s="49" t="s">
        <v>20</v>
      </c>
      <c r="B8" s="100">
        <f>IF(OR(B3=3,B3=7),DATE(YEAR(B7)-1,1,1),DATE(YEAR(B7),1,1))</f>
        <v>45658</v>
      </c>
      <c r="C8" s="49"/>
      <c r="D8" s="49"/>
      <c r="E8" s="49"/>
    </row>
    <row r="9" spans="1:5" x14ac:dyDescent="0.15">
      <c r="A9" s="49" t="s">
        <v>12</v>
      </c>
      <c r="B9" s="49">
        <f>DATEDIF('入力シート（大学18期）'!E21,$B$8,"y")</f>
        <v>125</v>
      </c>
      <c r="C9" s="49">
        <f>DATEDIF('入力シート（大学18期）'!F21,$B$8,"y")</f>
        <v>125</v>
      </c>
      <c r="D9" s="49">
        <f>DATEDIF('入力シート（大学18期）'!G21,$B$8,"y")</f>
        <v>125</v>
      </c>
      <c r="E9" s="49"/>
    </row>
    <row r="10" spans="1:5" x14ac:dyDescent="0.15">
      <c r="A10" s="49" t="s">
        <v>6</v>
      </c>
      <c r="B10" s="49">
        <f>VLOOKUP('入力シート（大学18期）'!E22,リストボックス!$E$1:$F$3,2,0)</f>
        <v>0</v>
      </c>
      <c r="C10" s="49">
        <f>VLOOKUP('入力シート（大学18期）'!F22,リストボックス!$E$1:$F$3,2,0)</f>
        <v>0</v>
      </c>
      <c r="D10" s="49">
        <f>VLOOKUP('入力シート（大学18期）'!G22,リストボックス!$E$1:$F$3,2,0)</f>
        <v>0</v>
      </c>
      <c r="E10" s="49"/>
    </row>
    <row r="11" spans="1:5" x14ac:dyDescent="0.15">
      <c r="A11" s="49" t="s">
        <v>21</v>
      </c>
      <c r="B11" s="49">
        <f>VLOOKUP('入力シート（大学18期）'!E32,リストボックス!$G$1:$H$3,2,0)</f>
        <v>0</v>
      </c>
      <c r="C11" s="49">
        <f>VLOOKUP('入力シート（大学18期）'!F32,リストボックス!$G$1:$H$3,2,0)</f>
        <v>0</v>
      </c>
      <c r="D11" s="49">
        <f>VLOOKUP('入力シート（大学18期）'!G32,リストボックス!$G$1:$H$3,2,0)</f>
        <v>0</v>
      </c>
      <c r="E11" s="49"/>
    </row>
    <row r="12" spans="1:5" x14ac:dyDescent="0.15">
      <c r="A12" s="49" t="s">
        <v>0</v>
      </c>
      <c r="B12" s="49">
        <f>'入力シート（大学18期）'!E18</f>
        <v>0</v>
      </c>
      <c r="C12" s="49">
        <f>'入力シート（大学18期）'!F18</f>
        <v>0</v>
      </c>
      <c r="D12" s="49">
        <f>'入力シート（大学18期）'!G18</f>
        <v>0</v>
      </c>
      <c r="E12" s="49"/>
    </row>
    <row r="13" spans="1:5" x14ac:dyDescent="0.15">
      <c r="A13" s="49" t="s">
        <v>1</v>
      </c>
      <c r="B13" s="49">
        <f>'入力シート（大学18期）'!E18-'入力シート（大学18期）'!E23</f>
        <v>0</v>
      </c>
      <c r="C13" s="49">
        <f>'入力シート（大学18期）'!F18-'入力シート（大学18期）'!F23</f>
        <v>0</v>
      </c>
      <c r="D13" s="49">
        <f>'入力シート（大学18期）'!G18-'入力シート（大学18期）'!G23</f>
        <v>0</v>
      </c>
      <c r="E13" s="49"/>
    </row>
    <row r="14" spans="1:5" x14ac:dyDescent="0.15">
      <c r="A14" s="49" t="s">
        <v>22</v>
      </c>
      <c r="B14" s="49">
        <f>IF(VLOOKUP('入力シート（大学18期）'!E24,リストボックス!$I$1:$J$5,2,0)&gt;0,1,0)</f>
        <v>0</v>
      </c>
      <c r="C14" s="49">
        <f>IF(VLOOKUP('入力シート（大学18期）'!F24,リストボックス!$I$1:$J$5,2,0)&gt;0,1,0)</f>
        <v>0</v>
      </c>
      <c r="D14" s="49">
        <f>IF(VLOOKUP('入力シート（大学18期）'!G24,リストボックス!$I$1:$J$5,2,0)&gt;0,1,0)</f>
        <v>0</v>
      </c>
      <c r="E14" s="49"/>
    </row>
    <row r="15" spans="1:5" x14ac:dyDescent="0.15">
      <c r="A15" s="49" t="s">
        <v>23</v>
      </c>
      <c r="B15" s="49">
        <f>SUM(B14,'入力シート（大学18期）'!E25:E28)</f>
        <v>0</v>
      </c>
      <c r="C15" s="49">
        <f>SUM(C14,'入力シート（大学18期）'!F25:F28)</f>
        <v>0</v>
      </c>
      <c r="D15" s="49">
        <f>SUM(D14,'入力シート（大学18期）'!G25:G28)</f>
        <v>0</v>
      </c>
      <c r="E15" s="49"/>
    </row>
    <row r="16" spans="1:5" x14ac:dyDescent="0.15">
      <c r="A16" s="49" t="s">
        <v>24</v>
      </c>
      <c r="B16" s="49">
        <f>350000*(1+B15)+IF(B15&gt;0,320000,0)+IF(B27=1,100000,0)</f>
        <v>450000</v>
      </c>
      <c r="C16" s="49">
        <f>350000*(1+C15)+IF(C15&gt;0,320000,0)+IF(B27=1,100000,0)</f>
        <v>450000</v>
      </c>
      <c r="D16" s="49">
        <f>350000*(1+D15)+IF(D15&gt;0,320000,0)+IF(B27=1,100000,0)</f>
        <v>450000</v>
      </c>
      <c r="E16" s="49"/>
    </row>
    <row r="17" spans="1:5" x14ac:dyDescent="0.15">
      <c r="A17" s="49" t="s">
        <v>25</v>
      </c>
      <c r="B17" s="49">
        <f>VLOOKUP('入力シート（大学18期）'!E19,リストボックス!$K$1:$L$5,2,0)</f>
        <v>0</v>
      </c>
      <c r="C17" s="49">
        <f>VLOOKUP('入力シート（大学18期）'!F19,リストボックス!$K$1:$L$5,2,0)</f>
        <v>1</v>
      </c>
      <c r="D17" s="49">
        <f>VLOOKUP('入力シート（大学18期）'!G19,リストボックス!$K$1:$L$5,2,0)</f>
        <v>0</v>
      </c>
      <c r="E17" s="49"/>
    </row>
    <row r="18" spans="1:5" x14ac:dyDescent="0.15">
      <c r="A18" s="49" t="s">
        <v>26</v>
      </c>
      <c r="B18" s="49">
        <f>VLOOKUP('入力シート（大学18期）'!E20,リストボックス!$M$1:$N$4,2,0)</f>
        <v>0</v>
      </c>
      <c r="C18" s="49">
        <f>VLOOKUP('入力シート（大学18期）'!F20,リストボックス!$M$1:$N$4,2,0)</f>
        <v>0</v>
      </c>
      <c r="D18" s="49">
        <f>VLOOKUP('入力シート（大学18期）'!G20,リストボックス!$M$1:$N$4,2,0)</f>
        <v>0</v>
      </c>
      <c r="E18" s="49"/>
    </row>
    <row r="19" spans="1:5" x14ac:dyDescent="0.15">
      <c r="A19" s="49" t="s">
        <v>27</v>
      </c>
      <c r="B19" s="49">
        <f>IF(YEAR(B8)&gt;2022,IF(B9&lt;18,1,0),IF(B9&lt;20,1,0))</f>
        <v>0</v>
      </c>
      <c r="C19" s="49">
        <f>IF(YEAR(B8)&gt;2022,IF(C9&lt;18,1,0),IF(C9&lt;20,1,0))</f>
        <v>0</v>
      </c>
      <c r="D19" s="49">
        <f>IF(YEAR(B8)&gt;2022,IF(D9&lt;18,1,0),IF(D9&lt;20,1,0))</f>
        <v>0</v>
      </c>
      <c r="E19" s="49"/>
    </row>
    <row r="20" spans="1:5" x14ac:dyDescent="0.15">
      <c r="A20" s="49" t="s">
        <v>28</v>
      </c>
      <c r="B20" s="49">
        <f>IF(SUM(B17:B19)&gt;0,1250000+IF(B27=1,100000,0),0)</f>
        <v>0</v>
      </c>
      <c r="C20" s="49">
        <f>IF(SUM(C17:C19)&gt;0,1250000+IF(B27=1,100000,0),0)</f>
        <v>1350000</v>
      </c>
      <c r="D20" s="49">
        <f>IF(SUM(D17:D19)&gt;0,1250000+IF(B27=1,100000,0),0)</f>
        <v>0</v>
      </c>
      <c r="E20" s="49"/>
    </row>
    <row r="21" spans="1:5" x14ac:dyDescent="0.15">
      <c r="A21" s="49" t="s">
        <v>29</v>
      </c>
      <c r="B21" s="49">
        <f>'入力シート（大学18期）'!E29</f>
        <v>0</v>
      </c>
      <c r="C21" s="49">
        <f>'入力シート（大学18期）'!F29</f>
        <v>0</v>
      </c>
      <c r="D21" s="49">
        <f>'入力シート（大学18期）'!G29</f>
        <v>0</v>
      </c>
      <c r="E21" s="49"/>
    </row>
    <row r="22" spans="1:5" x14ac:dyDescent="0.15">
      <c r="A22" s="49" t="s">
        <v>107</v>
      </c>
      <c r="B22" s="49">
        <f>SUM('入力シート（大学18期）'!E30)*IF(B11=1,3/4,1)</f>
        <v>0</v>
      </c>
      <c r="C22" s="49">
        <f>SUM('入力シート（大学18期）'!F30)*IF(C11=1,3/4,1)</f>
        <v>0</v>
      </c>
      <c r="D22" s="49">
        <f>SUM('入力シート（大学18期）'!G30)*IF(D11=1,3/4,1)</f>
        <v>0</v>
      </c>
      <c r="E22" s="49"/>
    </row>
    <row r="23" spans="1:5" x14ac:dyDescent="0.15">
      <c r="A23" s="58" t="s">
        <v>133</v>
      </c>
      <c r="B23" s="49">
        <f>SUM('入力シート（大学18期）'!E31)*IF(B11=1,3/4,1)</f>
        <v>0</v>
      </c>
      <c r="C23" s="49">
        <f>SUM('入力シート（大学18期）'!F31)*IF(C11=1,3/4,1)</f>
        <v>0</v>
      </c>
      <c r="D23" s="49">
        <f>SUM('入力シート（大学18期）'!G31)*IF(D11=1,3/4,1)</f>
        <v>0</v>
      </c>
      <c r="E23" s="49"/>
    </row>
    <row r="24" spans="1:5" x14ac:dyDescent="0.15">
      <c r="A24" s="49" t="s">
        <v>33</v>
      </c>
      <c r="B24" s="49">
        <f>IF(OR(B10=1,B12&lt;=B20,B13&lt;=B16),1,0)</f>
        <v>1</v>
      </c>
      <c r="C24" s="49">
        <f>IF(OR(C10=1,C12&lt;=C20,C13&lt;=C16),1,0)</f>
        <v>1</v>
      </c>
      <c r="D24" s="49">
        <f>IF(OR(D10=1,D12&lt;=D20,D13&lt;=D16),1,0)</f>
        <v>1</v>
      </c>
      <c r="E24" s="49"/>
    </row>
    <row r="25" spans="1:5" x14ac:dyDescent="0.15">
      <c r="A25" s="58" t="s">
        <v>135</v>
      </c>
      <c r="B25" s="49">
        <f>MAX(0,IF(B2=3,0,IF(B24=1,0,ROUNDDOWN(B21*0.06-B22-B23,-2))))</f>
        <v>0</v>
      </c>
      <c r="C25" s="49">
        <f>MAX(0,IF(B2=1,IF(C24=1,0,ROUNDDOWN(C21*0.06-C22-C23,-2)),0))</f>
        <v>0</v>
      </c>
      <c r="D25" s="49">
        <f>MAX(0,IF(D24=1,0,ROUNDDOWN(D21*0.06-D22-D23,-2)))</f>
        <v>0</v>
      </c>
      <c r="E25" s="49" t="s">
        <v>146</v>
      </c>
    </row>
    <row r="26" spans="1:5" x14ac:dyDescent="0.15">
      <c r="A26" s="49" t="s">
        <v>134</v>
      </c>
      <c r="B26" s="58">
        <f>MAX(0,IF(B2=3,0,IF(B24=1,0,ROUNDDOWN(B21*0.06-B22,-2))))</f>
        <v>0</v>
      </c>
      <c r="C26" s="58">
        <f>MAX(0,IF(B2=1,IF(C24=1,0,ROUNDDOWN(C21*0.06-C22,-2)),0))</f>
        <v>0</v>
      </c>
      <c r="D26" s="49">
        <f>MAX(0,IF(D24=1,0,ROUNDDOWN(D21*0.06-D22,-2)))</f>
        <v>0</v>
      </c>
      <c r="E26" s="49"/>
    </row>
    <row r="27" spans="1:5" x14ac:dyDescent="0.15">
      <c r="A27" s="49" t="s">
        <v>93</v>
      </c>
      <c r="B27" s="49">
        <f>IF('入力シート（大学18期）'!E8&lt;2021,0,IF(AND('入力シート（大学18期）'!E8=2021,B3=3),0,1))</f>
        <v>1</v>
      </c>
      <c r="C27" s="49"/>
      <c r="D27" s="49"/>
      <c r="E27" s="49" t="s">
        <v>94</v>
      </c>
    </row>
    <row r="28" spans="1:5" x14ac:dyDescent="0.15">
      <c r="A28" s="49" t="s">
        <v>98</v>
      </c>
      <c r="B28" s="58">
        <f>IF(YEAR(B8)&gt;2021,1,0)</f>
        <v>1</v>
      </c>
      <c r="C28" s="49"/>
      <c r="D28" s="49"/>
      <c r="E28" s="49" t="s">
        <v>103</v>
      </c>
    </row>
    <row r="29" spans="1:5" x14ac:dyDescent="0.15">
      <c r="A29" s="49" t="s">
        <v>102</v>
      </c>
      <c r="B29" s="49">
        <f>DATEDIF('入力シート（大学18期）'!G21,$B$8-1,"y")</f>
        <v>124</v>
      </c>
      <c r="C29" s="49"/>
      <c r="D29" s="49"/>
      <c r="E29" s="49"/>
    </row>
    <row r="30" spans="1:5" x14ac:dyDescent="0.15">
      <c r="A30" s="49" t="s">
        <v>101</v>
      </c>
      <c r="B30" s="58">
        <f>IFERROR(VALUE(TEXT(MONTH('入力シート（大学18期）'!G21),"00")&amp;TEXT(DAY('入力シート（大学18期）'!G21),"00")),1000)</f>
        <v>100</v>
      </c>
      <c r="C30" s="49"/>
      <c r="D30" s="49"/>
      <c r="E30" s="49"/>
    </row>
    <row r="31" spans="1:5" x14ac:dyDescent="0.15">
      <c r="A31" s="58" t="s">
        <v>100</v>
      </c>
      <c r="B31" s="58">
        <f>IF(計算シート!$B$46=0,IFERROR(IF(AND(B28=1,B29=18,B30&gt;101,B30&lt;=401),1,0),0),0)</f>
        <v>0</v>
      </c>
      <c r="C31" s="58"/>
      <c r="D31" s="49"/>
      <c r="E31" s="49"/>
    </row>
    <row r="32" spans="1:5" x14ac:dyDescent="0.15">
      <c r="A32" s="58" t="s">
        <v>99</v>
      </c>
      <c r="B32" s="58">
        <f>IF(AND($B$31=1,SUM('入力シート（大学18期）'!E25)&gt;0,IF(SUM('入力シート（大学18期）'!F25)&gt;0,IF(B26&gt;=C26,1,0),1)&gt;0),7200,0)</f>
        <v>0</v>
      </c>
      <c r="C32" s="58">
        <f>IF(AND($B$31=1,SUM('入力シート（大学18期）'!F25)&gt;0,IF(SUM('入力シート（大学18期）'!E25)&gt;0,IF(B26&lt;C26,1,0),1)&gt;0),7200,0)</f>
        <v>0</v>
      </c>
      <c r="D32" s="49"/>
      <c r="E32" s="49"/>
    </row>
    <row r="33" spans="1:5" x14ac:dyDescent="0.15">
      <c r="A33" s="58" t="s">
        <v>136</v>
      </c>
      <c r="B33" s="58">
        <f>IFERROR(MAX(0,B26-B32),B26)</f>
        <v>0</v>
      </c>
      <c r="C33" s="58">
        <f>IFERROR(MAX(0,C26-C32),C26)</f>
        <v>0</v>
      </c>
      <c r="D33" s="49"/>
      <c r="E33" s="49"/>
    </row>
    <row r="34" spans="1:5" x14ac:dyDescent="0.15">
      <c r="A34" s="58" t="s">
        <v>137</v>
      </c>
      <c r="B34" s="58">
        <f>IFERROR(MAX(0,B25-B32),B25)</f>
        <v>0</v>
      </c>
      <c r="C34" s="58">
        <f>IFERROR(MAX(0,C25-C32),C25)</f>
        <v>0</v>
      </c>
      <c r="D34" s="49"/>
      <c r="E34" s="49"/>
    </row>
    <row r="35" spans="1:5" x14ac:dyDescent="0.15">
      <c r="A35" s="58" t="s">
        <v>143</v>
      </c>
      <c r="B35" s="58">
        <f>IF(計算シート!$B$46=0,MIN('入力シート（大学18期）'!E12,SUM('入力シート（大学18期）'!E25:F26,'入力シート（大学18期）'!E28:F28)),0)</f>
        <v>0</v>
      </c>
      <c r="C35" s="49"/>
      <c r="D35" s="49"/>
      <c r="E35" s="49"/>
    </row>
    <row r="36" spans="1:5" x14ac:dyDescent="0.15">
      <c r="A36" s="58" t="s">
        <v>108</v>
      </c>
      <c r="B36" s="58">
        <f>IF(計算シート!$B$46=0,IF(AND(B2&gt;1,OR(AND(B2=2,B6&gt;0),SUM(B18:D18)&gt;0)),40000,0),0)</f>
        <v>0</v>
      </c>
      <c r="C36" s="49"/>
      <c r="D36" s="49"/>
      <c r="E36" s="49"/>
    </row>
    <row r="37" spans="1:5" x14ac:dyDescent="0.15">
      <c r="A37" s="58" t="s">
        <v>109</v>
      </c>
      <c r="B37" s="49">
        <f>MAX((B35-2)*40000,0)</f>
        <v>0</v>
      </c>
      <c r="C37" s="49"/>
      <c r="D37" s="49"/>
      <c r="E37" s="49"/>
    </row>
    <row r="38" spans="1:5" x14ac:dyDescent="0.15">
      <c r="A38" s="58" t="s">
        <v>111</v>
      </c>
      <c r="B38" s="58">
        <f>IF(計算シート!$B$46=0,IF(AND(B3&gt;1,VLOOKUP('入力シート（大学18期）'!G8,リストボックス!AB2:AC3,2,0)=2,VLOOKUP('入力シート（大学18期）'!G9,リストボックス!U2:V5,2,0)=2),22000,0),0)</f>
        <v>22000</v>
      </c>
      <c r="C38" s="49"/>
      <c r="D38" s="49"/>
      <c r="E38" s="49"/>
    </row>
    <row r="39" spans="1:5" x14ac:dyDescent="0.15">
      <c r="A39" s="58" t="s">
        <v>110</v>
      </c>
      <c r="B39" s="49">
        <f>IF(B2&lt;3,MAX(SUM(B33:C33)-SUM(B36:B38),0),MAX(D26-SUM(B36:B38),0))</f>
        <v>0</v>
      </c>
      <c r="C39" s="49"/>
      <c r="D39" s="49"/>
      <c r="E39" s="49"/>
    </row>
    <row r="40" spans="1:5" x14ac:dyDescent="0.15">
      <c r="A40" s="58" t="s">
        <v>120</v>
      </c>
      <c r="B40" s="49">
        <f>IF(B39&lt;=189400,1,0)</f>
        <v>1</v>
      </c>
      <c r="C40" s="49"/>
      <c r="D40" s="49"/>
      <c r="E40" s="49"/>
    </row>
    <row r="41" spans="1:5" x14ac:dyDescent="0.15">
      <c r="A41" s="58" t="s">
        <v>121</v>
      </c>
      <c r="B41" s="49">
        <f>IF(B39&lt;=381500,1,0)</f>
        <v>1</v>
      </c>
      <c r="C41" s="49"/>
      <c r="D41" s="49"/>
      <c r="E41" s="49"/>
    </row>
    <row r="42" spans="1:5" x14ac:dyDescent="0.15">
      <c r="A42" s="58" t="s">
        <v>122</v>
      </c>
      <c r="B42" s="49">
        <f>IF(B39&lt;=164600,1,0)</f>
        <v>1</v>
      </c>
      <c r="C42" s="49"/>
      <c r="D42" s="49"/>
      <c r="E42" s="49"/>
    </row>
    <row r="43" spans="1:5" x14ac:dyDescent="0.15">
      <c r="A43" s="58" t="s">
        <v>142</v>
      </c>
      <c r="B43" s="49" t="str">
        <f>IFERROR(IF(B46=0,IF(B4=1,IF(B40=1,"第一種奨学金の家計基準に適格","家計基準不適格"),IF(B4=2,IF(B41=1,"第二種奨学金の家計基準に適格","家計基準不適格"),IF(B4=3,IF(B42=1,"併用の家計基準に適格",IF(B5=1,IF(B40=1,"第一種奨学金の家計基準に適格",IF(B41=1,"第二種奨学金の家計基準に適格","家計基準不適格")),IF(B41=1,"第二種奨学金の家計基準に適格","家計基準不適格"))),""))),IF(B4=1,IF(B47=1,"第一種奨学金の家計基準に適格",IF(B48=1,"第一種奨学金の家計基準△","家計基準不適格")),IF(B4=2,IF(B49=1,"第二種奨学金の家計基準に適格","家計基準不適格"),IF(B4=3,IF(B50=1,"併用の家計基準に適格",IF(B5=1,IF(B47=1,"第一種奨学金の家計基準に適格",IF(B48=1,"第一種奨学金の家計基準△　","")&amp;IF(B49=1,"第二種奨学金の家計基準に適格","家計基準不適格")),IF(B49=1,"第二種奨学金の家計基準に適格","家計基準不適格"))),"")))),"")</f>
        <v>第二種奨学金の家計基準に適格</v>
      </c>
      <c r="C43" s="49"/>
      <c r="D43" s="49"/>
      <c r="E43" s="49" t="s">
        <v>152</v>
      </c>
    </row>
    <row r="44" spans="1:5" x14ac:dyDescent="0.15">
      <c r="A44" s="49" t="s">
        <v>8</v>
      </c>
      <c r="B44" s="58" t="str">
        <f>IF(B46=1,"申請できません",IF(AND(B3=2,'入力シート（大学18期）'!E8&gt;=2020),"エラー",IF('入力シート（大学18期）'!E8=0,"年度が入力されていません",IF(SUM(B34:C34,D25)&lt;100,"第Ⅰ区分",IF(SUM(B34:C34,D25)&lt;25600,"第Ⅱ区分",IF(SUM(B34:C34,D25)&lt;51300,"第Ⅲ区分",IF(SUM(B34:C34,D25)&lt;154500,"第Ⅳ区分",IF(B52="","対象外",""))))))))</f>
        <v>第Ⅰ区分</v>
      </c>
      <c r="C44" s="49"/>
      <c r="D44" s="49"/>
      <c r="E44" s="49"/>
    </row>
    <row r="45" spans="1:5" x14ac:dyDescent="0.15">
      <c r="A45" s="69" t="s">
        <v>144</v>
      </c>
      <c r="B45" s="69" t="str">
        <f>IF(B44="第Ⅳ区分",IF(AND(B35&gt;2,B51=0,VLOOKUP('入力シート（大学18期）'!G12,リストボックス!Z2:AA3,2,0)=1),"（多子世帯）",IF(AND(B3=1,B52=""),"（理工農系進学の場合）",IF(AND(VLOOKUP('入力シート（大学18期）'!G13,リストボックス!W2:X3,2,0)=2,VLOOKUP('入力シート（大学18期）'!G8,リストボックス!AB2:AC3,2,0)=2),"（理工農系）",IF(B52="","（支援対象外）","")))),"")</f>
        <v/>
      </c>
      <c r="C45" s="49"/>
      <c r="D45" s="49"/>
      <c r="E45" s="49"/>
    </row>
    <row r="46" spans="1:5" x14ac:dyDescent="0.15">
      <c r="A46" s="58" t="s">
        <v>168</v>
      </c>
      <c r="B46" s="49">
        <f>IF(VLOOKUP('入力シート（大学18期）'!E9,リストボックス!C2:D9,2,0)&gt;5,1,0)</f>
        <v>0</v>
      </c>
      <c r="C46" s="49"/>
      <c r="D46" s="49"/>
      <c r="E46" s="49"/>
    </row>
    <row r="47" spans="1:5" x14ac:dyDescent="0.15">
      <c r="A47" s="58" t="s">
        <v>169</v>
      </c>
      <c r="B47" s="49">
        <f>IF(VLOOKUP('入力シート（大学18期）'!$E$13,リストボックス!$AD$2:$AE$3,2,0)=1,IF($B$39&lt;=66400,1,0),IF($B$39&lt;=80100,1,0))</f>
        <v>1</v>
      </c>
      <c r="C47" s="49"/>
      <c r="D47" s="49"/>
      <c r="E47" s="49"/>
    </row>
    <row r="48" spans="1:5" x14ac:dyDescent="0.15">
      <c r="A48" s="58" t="s">
        <v>170</v>
      </c>
      <c r="B48" s="49">
        <f>IF(VLOOKUP('入力シート（大学18期）'!$E$13,リストボックス!$AD$2:$AE$3,2,0)=1,IF($B$39&lt;=97800,1,0),IF($B$39&lt;=118600,1,0))</f>
        <v>1</v>
      </c>
      <c r="C48" s="49"/>
      <c r="D48" s="49"/>
      <c r="E48" s="49"/>
    </row>
    <row r="49" spans="1:5" x14ac:dyDescent="0.15">
      <c r="A49" s="58" t="s">
        <v>171</v>
      </c>
      <c r="B49" s="49">
        <f>IF(VLOOKUP('入力シート（大学18期）'!$E$13,リストボックス!$AD$2:$AE$3,2,0)=1,IF($B$39&lt;=155300,1,0),IF($B$39&lt;=229800,1,0))</f>
        <v>1</v>
      </c>
      <c r="C49" s="49"/>
      <c r="D49" s="49"/>
      <c r="E49" s="49"/>
    </row>
    <row r="50" spans="1:5" x14ac:dyDescent="0.15">
      <c r="A50" s="58" t="s">
        <v>172</v>
      </c>
      <c r="B50" s="49">
        <f>IF(VLOOKUP('入力シート（大学18期）'!$E$13,リストボックス!$AD$2:$AE$3,2,0)=1,IF($B$39&lt;=61600,1,0),IF($B$39&lt;=66400,1,0))</f>
        <v>1</v>
      </c>
      <c r="C50" s="49"/>
      <c r="D50" s="49"/>
      <c r="E50" s="49"/>
    </row>
    <row r="51" spans="1:5" x14ac:dyDescent="0.15">
      <c r="A51" s="69" t="s">
        <v>179</v>
      </c>
      <c r="B51" s="69">
        <f>IF(OR(OR(OR(B3=1,B3=3),YEAR(B8)&gt;=2024),OR(OR(B3=4,B3=5),YEAR(B8)&gt;=2025)),1,0)</f>
        <v>1</v>
      </c>
      <c r="C51" s="49"/>
      <c r="D51" s="49"/>
      <c r="E51" s="49"/>
    </row>
    <row r="52" spans="1:5" x14ac:dyDescent="0.15">
      <c r="A52" s="69" t="s">
        <v>178</v>
      </c>
      <c r="B52" s="99" t="str">
        <f>IF(B51=1,IF(AND(B35&gt;2,VLOOKUP('入力シート（大学18期）'!G12,リストボックス!Z2:AA3,2,0)=1),"　多子世帯",""),"")</f>
        <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M3" sqref="M3:N3"/>
    </sheetView>
  </sheetViews>
  <sheetFormatPr defaultRowHeight="13.5" x14ac:dyDescent="0.15"/>
  <cols>
    <col min="1" max="1" width="10.5" bestFit="1" customWidth="1"/>
  </cols>
  <sheetData>
    <row r="1" spans="1:2" x14ac:dyDescent="0.15">
      <c r="A1" s="1">
        <v>45005</v>
      </c>
      <c r="B1" t="s">
        <v>96</v>
      </c>
    </row>
    <row r="2" spans="1:2" x14ac:dyDescent="0.15">
      <c r="A2" s="1">
        <v>45363</v>
      </c>
      <c r="B2" t="s">
        <v>132</v>
      </c>
    </row>
    <row r="3" spans="1:2" x14ac:dyDescent="0.15">
      <c r="A3" s="1">
        <v>45383</v>
      </c>
      <c r="B3" t="s">
        <v>163</v>
      </c>
    </row>
    <row r="4" spans="1:2" x14ac:dyDescent="0.15">
      <c r="A4" s="1">
        <v>45463</v>
      </c>
      <c r="B4" t="s">
        <v>164</v>
      </c>
    </row>
    <row r="5" spans="1:2" x14ac:dyDescent="0.15">
      <c r="A5" s="1">
        <v>45489</v>
      </c>
      <c r="B5" t="s">
        <v>176</v>
      </c>
    </row>
    <row r="6" spans="1:2" x14ac:dyDescent="0.15">
      <c r="A6" s="1">
        <v>45717</v>
      </c>
      <c r="B6" t="s">
        <v>177</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入力シート（大学18期）</vt:lpstr>
      <vt:lpstr>入力例（大学18期）</vt:lpstr>
      <vt:lpstr>リストボックス</vt:lpstr>
      <vt:lpstr>計算シート</vt:lpstr>
      <vt:lpstr>修正履歴</vt:lpstr>
      <vt:lpstr>'入力シート（大学18期）'!Print_Area</vt:lpstr>
      <vt:lpstr>'入力例（大学18期）'!Print_Area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貸与額算定基準額判定ツール</dc:title>
  <dc:creator>JASSO</dc:creator>
  <cp:lastModifiedBy>kokusaikt4</cp:lastModifiedBy>
  <cp:lastPrinted>2025-03-24T09:13:51Z</cp:lastPrinted>
  <dcterms:created xsi:type="dcterms:W3CDTF">2006-09-16T00:00:00Z</dcterms:created>
  <dcterms:modified xsi:type="dcterms:W3CDTF">2025-10-31T06:23:55Z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2025-08-20T06:01:56Z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22460302-4721-452b-88e6-c548c5304ede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